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drawings/drawing4.xml" ContentType="application/vnd.openxmlformats-officedocument.drawing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253\engenharia\ARQUIVO GERAL\06 - PROJETOS\01 - PRÉDIOS PÚBLICOS\OBRAS\2026\Licitação RSD Organico Seletivo\"/>
    </mc:Choice>
  </mc:AlternateContent>
  <xr:revisionPtr revIDLastSave="0" documentId="13_ncr:1_{4FA72CB9-A543-46BA-9FA6-52616B043C75}" xr6:coauthVersionLast="47" xr6:coauthVersionMax="47" xr10:uidLastSave="{00000000-0000-0000-0000-000000000000}"/>
  <bookViews>
    <workbookView xWindow="-120" yWindow="-120" windowWidth="20640" windowHeight="11040" firstSheet="6" activeTab="8" xr2:uid="{00000000-000D-0000-FFFF-FFFF00000000}"/>
  </bookViews>
  <sheets>
    <sheet name="1_1_Coleta_BX_TEMP" sheetId="1" r:id="rId1"/>
    <sheet name="1_1_Coleta_ALT_TEMP" sheetId="2" r:id="rId2"/>
    <sheet name="1_1_Coleta_SELETIVA" sheetId="12" r:id="rId3"/>
    <sheet name="2_Encargos_Sociais" sheetId="4" r:id="rId4"/>
    <sheet name="3_CAGED" sheetId="5" r:id="rId5"/>
    <sheet name="4_BDI" sheetId="6" r:id="rId6"/>
    <sheet name="5__Depreciação" sheetId="7" r:id="rId7"/>
    <sheet name="6_Remuneração_de_capital" sheetId="8" r:id="rId8"/>
    <sheet name="TOTAL" sheetId="13" r:id="rId9"/>
    <sheet name="CALCULO-Baixa (2)" sheetId="18" r:id="rId10"/>
    <sheet name="CALCULO-Baixa" sheetId="16" r:id="rId11"/>
    <sheet name="CALCULO-Alta" sheetId="17" r:id="rId12"/>
    <sheet name="MemoriaCalculo" sheetId="14" r:id="rId13"/>
    <sheet name="Pla Resumo" sheetId="15" r:id="rId14"/>
  </sheets>
  <definedNames>
    <definedName name="AbaDeprec">'5__Depreciação'!$A$1</definedName>
    <definedName name="AbaRemun">'6_Remuneração_de_capital'!$A$1</definedName>
    <definedName name="_xlnm.Print_Area" localSheetId="1">'1_1_Coleta_ALT_TEMP'!$A$1:$F$346</definedName>
    <definedName name="_xlnm.Print_Area" localSheetId="0">'1_1_Coleta_BX_TEMP'!$A$1:$F$332</definedName>
    <definedName name="_xlnm.Print_Area" localSheetId="2">'1_1_Coleta_SELETIVA'!$A$1:$F$260</definedName>
    <definedName name="_xlnm.Print_Area" localSheetId="3">'2_Encargos_Sociais'!$A$1:$C$39</definedName>
    <definedName name="_xlnm.Print_Area" localSheetId="4">'3_CAGED'!$A$1:$C$35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37" i="2" l="1"/>
  <c r="E37" i="12"/>
  <c r="E37" i="4"/>
  <c r="E37" i="5"/>
  <c r="E37" i="6"/>
  <c r="E37" i="7"/>
  <c r="E37" i="8"/>
  <c r="E37" i="16"/>
  <c r="E37" i="17"/>
  <c r="E37" i="14"/>
  <c r="E37" i="15"/>
  <c r="D37" i="1"/>
  <c r="D37" i="2"/>
  <c r="D37" i="12"/>
  <c r="D37" i="4"/>
  <c r="D37" i="5"/>
  <c r="D37" i="6"/>
  <c r="D37" i="7"/>
  <c r="D37" i="8"/>
  <c r="D37" i="16"/>
  <c r="D37" i="17"/>
  <c r="D37" i="14"/>
  <c r="D37" i="15"/>
  <c r="D37" i="13"/>
  <c r="C6" i="1"/>
  <c r="C6" i="7"/>
  <c r="C6" i="8"/>
  <c r="C6" i="16"/>
  <c r="C6" i="17"/>
  <c r="C6" i="14"/>
  <c r="C6" i="15"/>
  <c r="C6" i="13"/>
  <c r="C15" i="6"/>
  <c r="L10" i="17" l="1"/>
  <c r="L16" i="16"/>
  <c r="E24" i="14"/>
  <c r="L8" i="15"/>
  <c r="L9" i="15" s="1"/>
  <c r="L14" i="16"/>
  <c r="C21" i="18"/>
  <c r="C13" i="18"/>
  <c r="C14" i="18" s="1"/>
  <c r="C17" i="18" l="1"/>
  <c r="C22" i="18" s="1"/>
  <c r="C24" i="18" s="1"/>
  <c r="C15" i="18"/>
  <c r="C21" i="17" l="1"/>
  <c r="C13" i="17"/>
  <c r="C17" i="17" s="1"/>
  <c r="K9" i="15"/>
  <c r="K8" i="15"/>
  <c r="K21" i="15" s="1"/>
  <c r="L21" i="15" s="1"/>
  <c r="K11" i="15"/>
  <c r="K12" i="15"/>
  <c r="K13" i="15"/>
  <c r="K14" i="15"/>
  <c r="K15" i="15"/>
  <c r="K16" i="15"/>
  <c r="K17" i="15"/>
  <c r="K18" i="15"/>
  <c r="K19" i="15"/>
  <c r="K10" i="15"/>
  <c r="E44" i="2"/>
  <c r="E43" i="2"/>
  <c r="C13" i="16"/>
  <c r="C22" i="17" l="1"/>
  <c r="C24" i="17" s="1"/>
  <c r="C17" i="16"/>
  <c r="C22" i="16" s="1"/>
  <c r="C24" i="16" s="1"/>
  <c r="D154" i="2" l="1"/>
  <c r="E154" i="2" s="1"/>
  <c r="E137" i="2"/>
  <c r="C116" i="2" l="1"/>
  <c r="C117" i="2"/>
  <c r="J17" i="14"/>
  <c r="J6" i="14"/>
  <c r="J7" i="14"/>
  <c r="J9" i="14"/>
  <c r="J10" i="14"/>
  <c r="J11" i="14"/>
  <c r="J12" i="14"/>
  <c r="J13" i="14"/>
  <c r="J14" i="14"/>
  <c r="J16" i="14"/>
  <c r="J5" i="14"/>
  <c r="L9" i="14"/>
  <c r="N9" i="14" s="1"/>
  <c r="L10" i="14"/>
  <c r="N10" i="14" s="1"/>
  <c r="L11" i="14"/>
  <c r="N11" i="14" s="1"/>
  <c r="L12" i="14"/>
  <c r="N12" i="14" s="1"/>
  <c r="L13" i="14"/>
  <c r="N13" i="14" s="1"/>
  <c r="L14" i="14"/>
  <c r="N14" i="14" s="1"/>
  <c r="L15" i="14"/>
  <c r="N15" i="14" s="1"/>
  <c r="L8" i="14"/>
  <c r="N8" i="14" s="1"/>
  <c r="E41" i="15"/>
  <c r="D41" i="15"/>
  <c r="C41" i="15"/>
  <c r="O8" i="15" l="1"/>
  <c r="O9" i="15"/>
  <c r="O10" i="15"/>
  <c r="O11" i="15"/>
  <c r="O12" i="15"/>
  <c r="O13" i="15"/>
  <c r="O14" i="15"/>
  <c r="O15" i="15"/>
  <c r="O7" i="15"/>
  <c r="D21" i="15"/>
  <c r="F21" i="15"/>
  <c r="E21" i="15"/>
  <c r="C21" i="15"/>
  <c r="G21" i="15"/>
  <c r="I21" i="15"/>
  <c r="H21" i="15"/>
  <c r="C18" i="14" l="1"/>
  <c r="C24" i="14" s="1"/>
  <c r="E8" i="14"/>
  <c r="E9" i="14"/>
  <c r="E10" i="14"/>
  <c r="E11" i="14"/>
  <c r="E12" i="14"/>
  <c r="E13" i="14"/>
  <c r="E14" i="14"/>
  <c r="E15" i="14"/>
  <c r="D5" i="14"/>
  <c r="X31" i="14"/>
  <c r="AJ31" i="14"/>
  <c r="AH31" i="14"/>
  <c r="AF31" i="14"/>
  <c r="AD31" i="14"/>
  <c r="V31" i="14"/>
  <c r="R31" i="14"/>
  <c r="P31" i="14"/>
  <c r="D6" i="14"/>
  <c r="L6" i="14" s="1"/>
  <c r="N6" i="14" s="1"/>
  <c r="AL31" i="14"/>
  <c r="AB31" i="14"/>
  <c r="T31" i="14"/>
  <c r="Z31" i="14"/>
  <c r="G17" i="14"/>
  <c r="C205" i="2"/>
  <c r="C207" i="2" s="1"/>
  <c r="G24" i="14" l="1"/>
  <c r="K24" i="14" s="1"/>
  <c r="N24" i="14" s="1"/>
  <c r="E5" i="14"/>
  <c r="L5" i="14"/>
  <c r="N5" i="14" s="1"/>
  <c r="T33" i="14"/>
  <c r="D16" i="14" s="1"/>
  <c r="Z33" i="14"/>
  <c r="D7" i="14" s="1"/>
  <c r="C21" i="14"/>
  <c r="C206" i="2"/>
  <c r="E206" i="2" s="1"/>
  <c r="C85" i="12"/>
  <c r="C84" i="12"/>
  <c r="C110" i="2"/>
  <c r="C109" i="2"/>
  <c r="C103" i="1"/>
  <c r="C102" i="1"/>
  <c r="D84" i="1"/>
  <c r="E224" i="12"/>
  <c r="E223" i="12"/>
  <c r="E222" i="12"/>
  <c r="E238" i="12"/>
  <c r="C236" i="12"/>
  <c r="E236" i="12" s="1"/>
  <c r="D237" i="12" s="1"/>
  <c r="E237" i="12" s="1"/>
  <c r="E234" i="12"/>
  <c r="D235" i="12" s="1"/>
  <c r="E235" i="12" s="1"/>
  <c r="E226" i="12"/>
  <c r="E225" i="12"/>
  <c r="C211" i="12"/>
  <c r="C209" i="12"/>
  <c r="E209" i="12" s="1"/>
  <c r="E207" i="12"/>
  <c r="D196" i="12"/>
  <c r="D194" i="12"/>
  <c r="D192" i="12"/>
  <c r="D190" i="12"/>
  <c r="D188" i="12"/>
  <c r="C188" i="12"/>
  <c r="C192" i="12" s="1"/>
  <c r="E178" i="12"/>
  <c r="E177" i="12"/>
  <c r="C166" i="12"/>
  <c r="D165" i="12"/>
  <c r="C165" i="12"/>
  <c r="D160" i="12"/>
  <c r="E160" i="12" s="1"/>
  <c r="C152" i="12"/>
  <c r="E149" i="12"/>
  <c r="D152" i="12" s="1"/>
  <c r="C148" i="12"/>
  <c r="C147" i="12"/>
  <c r="E144" i="12"/>
  <c r="D176" i="12" s="1"/>
  <c r="E176" i="12" s="1"/>
  <c r="E134" i="12"/>
  <c r="E132" i="12"/>
  <c r="D131" i="12"/>
  <c r="E131" i="12" s="1"/>
  <c r="D130" i="12"/>
  <c r="E130" i="12" s="1"/>
  <c r="D129" i="12"/>
  <c r="E129" i="12" s="1"/>
  <c r="D128" i="12"/>
  <c r="E128" i="12" s="1"/>
  <c r="D127" i="12"/>
  <c r="E127" i="12" s="1"/>
  <c r="E122" i="12"/>
  <c r="E120" i="12"/>
  <c r="E119" i="12"/>
  <c r="E118" i="12"/>
  <c r="E117" i="12"/>
  <c r="E116" i="12"/>
  <c r="E115" i="12"/>
  <c r="E114" i="12"/>
  <c r="E113" i="12"/>
  <c r="E112" i="12"/>
  <c r="E111" i="12"/>
  <c r="E100" i="12"/>
  <c r="E99" i="12"/>
  <c r="E98" i="12"/>
  <c r="E93" i="12"/>
  <c r="A93" i="12"/>
  <c r="E92" i="12"/>
  <c r="A92" i="12"/>
  <c r="A99" i="12" s="1"/>
  <c r="E91" i="12"/>
  <c r="A91" i="12"/>
  <c r="A98" i="12" s="1"/>
  <c r="E76" i="12"/>
  <c r="D68" i="12"/>
  <c r="E68" i="12" s="1"/>
  <c r="D67" i="12"/>
  <c r="E67" i="12" s="1"/>
  <c r="E65" i="12"/>
  <c r="E60" i="12"/>
  <c r="D53" i="12"/>
  <c r="E53" i="12" s="1"/>
  <c r="D52" i="12"/>
  <c r="E52" i="12" s="1"/>
  <c r="E51" i="12"/>
  <c r="D84" i="12" s="1"/>
  <c r="A40" i="12"/>
  <c r="A35" i="12"/>
  <c r="A34" i="12"/>
  <c r="A28" i="12"/>
  <c r="A27" i="12"/>
  <c r="A26" i="12"/>
  <c r="A25" i="12"/>
  <c r="A24" i="12"/>
  <c r="A23" i="12"/>
  <c r="A22" i="12"/>
  <c r="A21" i="12"/>
  <c r="A20" i="12"/>
  <c r="A19" i="12"/>
  <c r="A18" i="12"/>
  <c r="A17" i="12"/>
  <c r="A16" i="12"/>
  <c r="A15" i="12"/>
  <c r="A14" i="12"/>
  <c r="A13" i="12"/>
  <c r="A12" i="12"/>
  <c r="A11" i="12"/>
  <c r="E306" i="2"/>
  <c r="E305" i="2"/>
  <c r="E304" i="2"/>
  <c r="D280" i="2"/>
  <c r="C20" i="4"/>
  <c r="C179" i="2"/>
  <c r="C174" i="2"/>
  <c r="C169" i="1"/>
  <c r="C164" i="1"/>
  <c r="C20" i="6"/>
  <c r="C247" i="12" s="1"/>
  <c r="F13" i="6"/>
  <c r="E13" i="6"/>
  <c r="D13" i="6"/>
  <c r="C25" i="5"/>
  <c r="C26" i="5" s="1"/>
  <c r="C31" i="4" s="1"/>
  <c r="C23" i="5"/>
  <c r="C17" i="4"/>
  <c r="E320" i="2"/>
  <c r="C318" i="2"/>
  <c r="E318" i="2" s="1"/>
  <c r="D319" i="2" s="1"/>
  <c r="E319" i="2" s="1"/>
  <c r="E316" i="2"/>
  <c r="D317" i="2" s="1"/>
  <c r="E317" i="2" s="1"/>
  <c r="E308" i="2"/>
  <c r="E307" i="2"/>
  <c r="C295" i="2"/>
  <c r="E293" i="2"/>
  <c r="D294" i="2" s="1"/>
  <c r="E294" i="2" s="1"/>
  <c r="D295" i="2" s="1"/>
  <c r="D282" i="2"/>
  <c r="C280" i="2"/>
  <c r="C282" i="2" s="1"/>
  <c r="E273" i="2"/>
  <c r="E271" i="2"/>
  <c r="E270" i="2"/>
  <c r="E265" i="2"/>
  <c r="D258" i="2"/>
  <c r="E258" i="2" s="1"/>
  <c r="C251" i="2"/>
  <c r="E247" i="2"/>
  <c r="D250" i="2" s="1"/>
  <c r="E250" i="2" s="1"/>
  <c r="D251" i="2" s="1"/>
  <c r="C240" i="2"/>
  <c r="C238" i="2"/>
  <c r="E238" i="2" s="1"/>
  <c r="E236" i="2"/>
  <c r="D225" i="2"/>
  <c r="D223" i="2"/>
  <c r="D221" i="2"/>
  <c r="D219" i="2"/>
  <c r="D217" i="2"/>
  <c r="C217" i="2"/>
  <c r="C225" i="2" s="1"/>
  <c r="E207" i="2"/>
  <c r="C193" i="2"/>
  <c r="D192" i="2"/>
  <c r="C192" i="2"/>
  <c r="D187" i="2"/>
  <c r="E187" i="2" s="1"/>
  <c r="E176" i="2"/>
  <c r="C175" i="2"/>
  <c r="E171" i="2"/>
  <c r="E161" i="2"/>
  <c r="E159" i="2"/>
  <c r="D158" i="2"/>
  <c r="E158" i="2" s="1"/>
  <c r="D157" i="2"/>
  <c r="E157" i="2" s="1"/>
  <c r="D156" i="2"/>
  <c r="E156" i="2" s="1"/>
  <c r="D155" i="2"/>
  <c r="E155" i="2" s="1"/>
  <c r="D153" i="2"/>
  <c r="E153" i="2" s="1"/>
  <c r="E148" i="2"/>
  <c r="E146" i="2"/>
  <c r="E145" i="2"/>
  <c r="E144" i="2"/>
  <c r="E143" i="2"/>
  <c r="E142" i="2"/>
  <c r="E141" i="2"/>
  <c r="E140" i="2"/>
  <c r="E139" i="2"/>
  <c r="E138" i="2"/>
  <c r="E136" i="2"/>
  <c r="E125" i="2"/>
  <c r="E124" i="2"/>
  <c r="E123" i="2"/>
  <c r="E118" i="2"/>
  <c r="A118" i="2"/>
  <c r="E117" i="2"/>
  <c r="A117" i="2"/>
  <c r="A124" i="2" s="1"/>
  <c r="E116" i="2"/>
  <c r="A116" i="2"/>
  <c r="A123" i="2" s="1"/>
  <c r="D95" i="2"/>
  <c r="E95" i="2" s="1"/>
  <c r="D94" i="2"/>
  <c r="E94" i="2" s="1"/>
  <c r="D93" i="2"/>
  <c r="C93" i="2"/>
  <c r="E90" i="2"/>
  <c r="D111" i="2" s="1"/>
  <c r="E111" i="2" s="1"/>
  <c r="E85" i="2"/>
  <c r="D77" i="2"/>
  <c r="E77" i="2" s="1"/>
  <c r="D76" i="2"/>
  <c r="E76" i="2" s="1"/>
  <c r="E74" i="2"/>
  <c r="D110" i="2" s="1"/>
  <c r="E69" i="2"/>
  <c r="D62" i="2"/>
  <c r="E62" i="2" s="1"/>
  <c r="D61" i="2"/>
  <c r="E61" i="2" s="1"/>
  <c r="E60" i="2"/>
  <c r="D109" i="2" s="1"/>
  <c r="A49" i="2"/>
  <c r="E46" i="2"/>
  <c r="A44" i="2"/>
  <c r="A43" i="2"/>
  <c r="A37" i="2"/>
  <c r="A36" i="2"/>
  <c r="A35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E312" i="1"/>
  <c r="C310" i="1"/>
  <c r="E310" i="1" s="1"/>
  <c r="D311" i="1" s="1"/>
  <c r="E311" i="1" s="1"/>
  <c r="E308" i="1"/>
  <c r="D309" i="1" s="1"/>
  <c r="E309" i="1" s="1"/>
  <c r="E300" i="1"/>
  <c r="E299" i="1"/>
  <c r="E298" i="1"/>
  <c r="E297" i="1"/>
  <c r="E296" i="1"/>
  <c r="C287" i="1"/>
  <c r="E285" i="1"/>
  <c r="D286" i="1" s="1"/>
  <c r="E286" i="1" s="1"/>
  <c r="D287" i="1" s="1"/>
  <c r="D274" i="1"/>
  <c r="D272" i="1"/>
  <c r="C272" i="1"/>
  <c r="E265" i="1"/>
  <c r="E263" i="1"/>
  <c r="E262" i="1"/>
  <c r="E257" i="1"/>
  <c r="C251" i="1"/>
  <c r="D250" i="1"/>
  <c r="E250" i="1" s="1"/>
  <c r="C243" i="1"/>
  <c r="E239" i="1"/>
  <c r="C252" i="1" s="1"/>
  <c r="C232" i="1"/>
  <c r="C230" i="1"/>
  <c r="E230" i="1" s="1"/>
  <c r="E228" i="1"/>
  <c r="D217" i="1"/>
  <c r="D215" i="1"/>
  <c r="D213" i="1"/>
  <c r="D211" i="1"/>
  <c r="D209" i="1"/>
  <c r="C209" i="1"/>
  <c r="C213" i="1" s="1"/>
  <c r="C197" i="1"/>
  <c r="C198" i="1" s="1"/>
  <c r="E198" i="1" s="1"/>
  <c r="C190" i="1"/>
  <c r="C185" i="1"/>
  <c r="D184" i="1"/>
  <c r="C184" i="1"/>
  <c r="D179" i="1"/>
  <c r="E179" i="1" s="1"/>
  <c r="E166" i="1"/>
  <c r="C165" i="1"/>
  <c r="E161" i="1"/>
  <c r="E151" i="1"/>
  <c r="C150" i="1"/>
  <c r="E149" i="1"/>
  <c r="D148" i="1"/>
  <c r="E148" i="1" s="1"/>
  <c r="D147" i="1"/>
  <c r="E147" i="1" s="1"/>
  <c r="D146" i="1"/>
  <c r="E146" i="1" s="1"/>
  <c r="D145" i="1"/>
  <c r="E145" i="1" s="1"/>
  <c r="D144" i="1"/>
  <c r="E144" i="1" s="1"/>
  <c r="E139" i="1"/>
  <c r="E137" i="1"/>
  <c r="E136" i="1"/>
  <c r="E135" i="1"/>
  <c r="E134" i="1"/>
  <c r="E133" i="1"/>
  <c r="E132" i="1"/>
  <c r="E131" i="1"/>
  <c r="E130" i="1"/>
  <c r="E129" i="1"/>
  <c r="E128" i="1"/>
  <c r="E118" i="1"/>
  <c r="C117" i="1"/>
  <c r="E117" i="1" s="1"/>
  <c r="C116" i="1"/>
  <c r="E116" i="1" s="1"/>
  <c r="A111" i="1"/>
  <c r="A110" i="1"/>
  <c r="A117" i="1" s="1"/>
  <c r="A109" i="1"/>
  <c r="A116" i="1" s="1"/>
  <c r="D88" i="1"/>
  <c r="E88" i="1" s="1"/>
  <c r="D87" i="1"/>
  <c r="E87" i="1" s="1"/>
  <c r="D86" i="1"/>
  <c r="C86" i="1"/>
  <c r="E83" i="1"/>
  <c r="E78" i="1"/>
  <c r="D70" i="1"/>
  <c r="E70" i="1" s="1"/>
  <c r="E69" i="1"/>
  <c r="E67" i="1"/>
  <c r="E62" i="1"/>
  <c r="D55" i="1"/>
  <c r="E55" i="1" s="1"/>
  <c r="D54" i="1"/>
  <c r="E54" i="1" s="1"/>
  <c r="E53" i="1"/>
  <c r="A42" i="1"/>
  <c r="C111" i="1"/>
  <c r="E111" i="1" s="1"/>
  <c r="A37" i="1"/>
  <c r="E36" i="1"/>
  <c r="C109" i="1" s="1"/>
  <c r="A36" i="1"/>
  <c r="A30" i="1"/>
  <c r="A29" i="1"/>
  <c r="A28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D258" i="12" l="1"/>
  <c r="E16" i="14"/>
  <c r="M16" i="14" s="1"/>
  <c r="L16" i="14"/>
  <c r="N16" i="14" s="1"/>
  <c r="D18" i="14"/>
  <c r="D24" i="14" s="1"/>
  <c r="D338" i="2" s="1"/>
  <c r="L7" i="14"/>
  <c r="E7" i="14"/>
  <c r="E282" i="2"/>
  <c r="C181" i="1"/>
  <c r="C27" i="5"/>
  <c r="F100" i="12"/>
  <c r="E16" i="12" s="1"/>
  <c r="E192" i="12"/>
  <c r="E165" i="12"/>
  <c r="D133" i="12"/>
  <c r="E133" i="12" s="1"/>
  <c r="F134" i="12" s="1"/>
  <c r="F94" i="12"/>
  <c r="E15" i="12" s="1"/>
  <c r="E152" i="12"/>
  <c r="D153" i="12" s="1"/>
  <c r="E153" i="12" s="1"/>
  <c r="D121" i="12"/>
  <c r="E121" i="12" s="1"/>
  <c r="F122" i="12" s="1"/>
  <c r="D283" i="2"/>
  <c r="C194" i="2"/>
  <c r="F119" i="2"/>
  <c r="E17" i="2" s="1"/>
  <c r="D179" i="2"/>
  <c r="E179" i="2" s="1"/>
  <c r="E295" i="2"/>
  <c r="F296" i="2" s="1"/>
  <c r="E34" i="2" s="1"/>
  <c r="C231" i="2"/>
  <c r="E231" i="2" s="1"/>
  <c r="F232" i="2" s="1"/>
  <c r="E26" i="2" s="1"/>
  <c r="E217" i="2"/>
  <c r="F309" i="2"/>
  <c r="F311" i="2" s="1"/>
  <c r="E35" i="2" s="1"/>
  <c r="C219" i="2"/>
  <c r="E219" i="2" s="1"/>
  <c r="E192" i="2"/>
  <c r="C223" i="2"/>
  <c r="E223" i="2" s="1"/>
  <c r="E251" i="2"/>
  <c r="E252" i="2" s="1"/>
  <c r="D253" i="2" s="1"/>
  <c r="E253" i="2" s="1"/>
  <c r="F254" i="2" s="1"/>
  <c r="E29" i="2" s="1"/>
  <c r="D261" i="1"/>
  <c r="E261" i="1" s="1"/>
  <c r="D264" i="1" s="1"/>
  <c r="E264" i="1" s="1"/>
  <c r="F265" i="1" s="1"/>
  <c r="E24" i="1" s="1"/>
  <c r="E272" i="1"/>
  <c r="D275" i="1"/>
  <c r="D210" i="12"/>
  <c r="E210" i="12" s="1"/>
  <c r="D211" i="12" s="1"/>
  <c r="E211" i="12" s="1"/>
  <c r="F212" i="12" s="1"/>
  <c r="E25" i="12" s="1"/>
  <c r="E84" i="12"/>
  <c r="D147" i="12"/>
  <c r="E147" i="12" s="1"/>
  <c r="D148" i="12" s="1"/>
  <c r="E148" i="12" s="1"/>
  <c r="F238" i="12"/>
  <c r="F240" i="12" s="1"/>
  <c r="E27" i="12" s="1"/>
  <c r="F227" i="12"/>
  <c r="F229" i="12" s="1"/>
  <c r="E26" i="12" s="1"/>
  <c r="D197" i="12"/>
  <c r="D179" i="12"/>
  <c r="E179" i="12" s="1"/>
  <c r="F180" i="12" s="1"/>
  <c r="E22" i="12" s="1"/>
  <c r="C167" i="12"/>
  <c r="E86" i="12"/>
  <c r="D69" i="12"/>
  <c r="E69" i="12" s="1"/>
  <c r="D71" i="12" s="1"/>
  <c r="E71" i="12" s="1"/>
  <c r="E72" i="12" s="1"/>
  <c r="D54" i="12"/>
  <c r="E54" i="12" s="1"/>
  <c r="C162" i="12"/>
  <c r="C194" i="12"/>
  <c r="E194" i="12" s="1"/>
  <c r="C202" i="12"/>
  <c r="E202" i="12" s="1"/>
  <c r="F203" i="12" s="1"/>
  <c r="E24" i="12" s="1"/>
  <c r="D85" i="12"/>
  <c r="E85" i="12" s="1"/>
  <c r="E188" i="12"/>
  <c r="C190" i="12"/>
  <c r="E190" i="12" s="1"/>
  <c r="C196" i="12"/>
  <c r="E196" i="12" s="1"/>
  <c r="E184" i="1"/>
  <c r="C274" i="1"/>
  <c r="E274" i="1" s="1"/>
  <c r="E86" i="1"/>
  <c r="E213" i="1"/>
  <c r="C211" i="1"/>
  <c r="E211" i="1" s="1"/>
  <c r="C217" i="1"/>
  <c r="E217" i="1" s="1"/>
  <c r="D242" i="1"/>
  <c r="E242" i="1" s="1"/>
  <c r="C253" i="1" s="1"/>
  <c r="D254" i="1" s="1"/>
  <c r="E254" i="1" s="1"/>
  <c r="E255" i="1" s="1"/>
  <c r="D256" i="1" s="1"/>
  <c r="E256" i="1" s="1"/>
  <c r="F257" i="1" s="1"/>
  <c r="E23" i="1" s="1"/>
  <c r="E280" i="1"/>
  <c r="F281" i="1" s="1"/>
  <c r="E26" i="1" s="1"/>
  <c r="D56" i="1"/>
  <c r="E56" i="1" s="1"/>
  <c r="D57" i="1" s="1"/>
  <c r="E57" i="1" s="1"/>
  <c r="E58" i="1" s="1"/>
  <c r="D59" i="1" s="1"/>
  <c r="D218" i="1"/>
  <c r="C223" i="1"/>
  <c r="E223" i="1" s="1"/>
  <c r="F224" i="1" s="1"/>
  <c r="E19" i="1" s="1"/>
  <c r="E287" i="1"/>
  <c r="F288" i="1" s="1"/>
  <c r="E27" i="1" s="1"/>
  <c r="F301" i="1"/>
  <c r="F303" i="1" s="1"/>
  <c r="E28" i="1" s="1"/>
  <c r="F320" i="2"/>
  <c r="F322" i="2" s="1"/>
  <c r="E36" i="2" s="1"/>
  <c r="E288" i="2"/>
  <c r="F289" i="2" s="1"/>
  <c r="E33" i="2" s="1"/>
  <c r="D269" i="2"/>
  <c r="E269" i="2" s="1"/>
  <c r="D272" i="2" s="1"/>
  <c r="E272" i="2" s="1"/>
  <c r="F273" i="2" s="1"/>
  <c r="E31" i="2" s="1"/>
  <c r="C260" i="2"/>
  <c r="C261" i="2" s="1"/>
  <c r="D262" i="2" s="1"/>
  <c r="E262" i="2" s="1"/>
  <c r="E263" i="2" s="1"/>
  <c r="D264" i="2" s="1"/>
  <c r="E264" i="2" s="1"/>
  <c r="F265" i="2" s="1"/>
  <c r="E30" i="2" s="1"/>
  <c r="D239" i="2"/>
  <c r="E239" i="2" s="1"/>
  <c r="D240" i="2" s="1"/>
  <c r="E240" i="2" s="1"/>
  <c r="F241" i="2" s="1"/>
  <c r="E27" i="2" s="1"/>
  <c r="E225" i="2"/>
  <c r="C221" i="2"/>
  <c r="E221" i="2" s="1"/>
  <c r="F125" i="2"/>
  <c r="E93" i="2"/>
  <c r="D96" i="2"/>
  <c r="E96" i="2" s="1"/>
  <c r="E110" i="2"/>
  <c r="D63" i="2"/>
  <c r="E63" i="2" s="1"/>
  <c r="F312" i="1"/>
  <c r="F314" i="1" s="1"/>
  <c r="E29" i="1" s="1"/>
  <c r="D160" i="2"/>
  <c r="E160" i="2" s="1"/>
  <c r="F161" i="2" s="1"/>
  <c r="D78" i="2"/>
  <c r="E78" i="2" s="1"/>
  <c r="D80" i="2" s="1"/>
  <c r="E80" i="2" s="1"/>
  <c r="D174" i="2"/>
  <c r="E174" i="2" s="1"/>
  <c r="D175" i="2" s="1"/>
  <c r="E175" i="2" s="1"/>
  <c r="C189" i="2"/>
  <c r="D205" i="2"/>
  <c r="E205" i="2" s="1"/>
  <c r="D208" i="2" s="1"/>
  <c r="E208" i="2" s="1"/>
  <c r="F209" i="2" s="1"/>
  <c r="E24" i="2" s="1"/>
  <c r="D150" i="1"/>
  <c r="E150" i="1" s="1"/>
  <c r="F151" i="1" s="1"/>
  <c r="F118" i="1"/>
  <c r="D71" i="1"/>
  <c r="E71" i="1" s="1"/>
  <c r="D73" i="1" s="1"/>
  <c r="E73" i="1" s="1"/>
  <c r="D138" i="1"/>
  <c r="E138" i="1" s="1"/>
  <c r="F139" i="1" s="1"/>
  <c r="D147" i="2"/>
  <c r="E147" i="2" s="1"/>
  <c r="F148" i="2" s="1"/>
  <c r="D226" i="2"/>
  <c r="D102" i="1"/>
  <c r="E102" i="1" s="1"/>
  <c r="D197" i="1"/>
  <c r="E197" i="1" s="1"/>
  <c r="D231" i="1"/>
  <c r="E231" i="1" s="1"/>
  <c r="D232" i="1" s="1"/>
  <c r="E232" i="1" s="1"/>
  <c r="F233" i="1" s="1"/>
  <c r="E20" i="1" s="1"/>
  <c r="C329" i="2"/>
  <c r="C321" i="1"/>
  <c r="E109" i="1"/>
  <c r="E280" i="2"/>
  <c r="F284" i="2" s="1"/>
  <c r="E32" i="2" s="1"/>
  <c r="C30" i="4"/>
  <c r="D103" i="1"/>
  <c r="E103" i="1" s="1"/>
  <c r="D169" i="1"/>
  <c r="E169" i="1" s="1"/>
  <c r="D170" i="1" s="1"/>
  <c r="E170" i="1" s="1"/>
  <c r="C199" i="1"/>
  <c r="E199" i="1" s="1"/>
  <c r="E109" i="2"/>
  <c r="C28" i="5"/>
  <c r="C33" i="5"/>
  <c r="C27" i="4" s="1"/>
  <c r="D164" i="1"/>
  <c r="E164" i="1" s="1"/>
  <c r="D165" i="1" s="1"/>
  <c r="E165" i="1" s="1"/>
  <c r="D104" i="1"/>
  <c r="E104" i="1" s="1"/>
  <c r="E209" i="1"/>
  <c r="C215" i="1"/>
  <c r="E215" i="1" s="1"/>
  <c r="C186" i="1" l="1"/>
  <c r="C187" i="1" s="1"/>
  <c r="D188" i="1" s="1"/>
  <c r="E188" i="1" s="1"/>
  <c r="E18" i="14"/>
  <c r="D329" i="1" s="1"/>
  <c r="M7" i="14"/>
  <c r="N7" i="14" s="1"/>
  <c r="N18" i="14" s="1"/>
  <c r="N20" i="14" s="1"/>
  <c r="N22" i="14" s="1"/>
  <c r="M18" i="14"/>
  <c r="M20" i="14" s="1"/>
  <c r="C195" i="2"/>
  <c r="D196" i="2" s="1"/>
  <c r="E196" i="2" s="1"/>
  <c r="C182" i="1"/>
  <c r="D183" i="1" s="1"/>
  <c r="E183" i="1" s="1"/>
  <c r="D180" i="2"/>
  <c r="E180" i="2" s="1"/>
  <c r="E181" i="2" s="1"/>
  <c r="D182" i="2" s="1"/>
  <c r="E182" i="2" s="1"/>
  <c r="F183" i="2" s="1"/>
  <c r="E22" i="2" s="1"/>
  <c r="E18" i="2"/>
  <c r="F136" i="12"/>
  <c r="E17" i="12" s="1"/>
  <c r="E154" i="12"/>
  <c r="D155" i="12" s="1"/>
  <c r="E155" i="12" s="1"/>
  <c r="F156" i="12" s="1"/>
  <c r="E20" i="12" s="1"/>
  <c r="C168" i="12"/>
  <c r="D169" i="12" s="1"/>
  <c r="E169" i="12" s="1"/>
  <c r="C163" i="12"/>
  <c r="D164" i="12" s="1"/>
  <c r="E164" i="12" s="1"/>
  <c r="D98" i="2"/>
  <c r="E98" i="2" s="1"/>
  <c r="E99" i="2" s="1"/>
  <c r="D100" i="2" s="1"/>
  <c r="F276" i="1"/>
  <c r="E25" i="1" s="1"/>
  <c r="F153" i="1"/>
  <c r="E12" i="1" s="1"/>
  <c r="F87" i="12"/>
  <c r="D73" i="12"/>
  <c r="F198" i="12"/>
  <c r="E23" i="12" s="1"/>
  <c r="D55" i="12"/>
  <c r="E55" i="12" s="1"/>
  <c r="E56" i="12" s="1"/>
  <c r="D89" i="1"/>
  <c r="E89" i="1" s="1"/>
  <c r="D91" i="1" s="1"/>
  <c r="E91" i="1" s="1"/>
  <c r="E92" i="1" s="1"/>
  <c r="D93" i="1" s="1"/>
  <c r="D243" i="1"/>
  <c r="E243" i="1" s="1"/>
  <c r="E244" i="1" s="1"/>
  <c r="D245" i="1" s="1"/>
  <c r="E245" i="1" s="1"/>
  <c r="F246" i="1" s="1"/>
  <c r="E22" i="1" s="1"/>
  <c r="F227" i="2"/>
  <c r="E25" i="2" s="1"/>
  <c r="F163" i="2"/>
  <c r="E19" i="2" s="1"/>
  <c r="E81" i="2"/>
  <c r="D82" i="2" s="1"/>
  <c r="D64" i="2"/>
  <c r="E64" i="2" s="1"/>
  <c r="E65" i="2" s="1"/>
  <c r="D66" i="2" s="1"/>
  <c r="F105" i="1"/>
  <c r="E9" i="1" s="1"/>
  <c r="E74" i="1"/>
  <c r="F219" i="1"/>
  <c r="E18" i="1" s="1"/>
  <c r="E28" i="2"/>
  <c r="E171" i="1"/>
  <c r="D172" i="1" s="1"/>
  <c r="E172" i="1" s="1"/>
  <c r="F173" i="1" s="1"/>
  <c r="C28" i="4"/>
  <c r="C29" i="4" s="1"/>
  <c r="C19" i="4"/>
  <c r="C25" i="4" s="1"/>
  <c r="C34" i="4" s="1"/>
  <c r="C35" i="4"/>
  <c r="F112" i="2"/>
  <c r="D200" i="1"/>
  <c r="E200" i="1" s="1"/>
  <c r="F201" i="1" s="1"/>
  <c r="E17" i="1" s="1"/>
  <c r="E11" i="1"/>
  <c r="C190" i="2"/>
  <c r="D191" i="2" s="1"/>
  <c r="E191" i="2" s="1"/>
  <c r="E197" i="2" l="1"/>
  <c r="D198" i="2" s="1"/>
  <c r="E198" i="2" s="1"/>
  <c r="F199" i="2" s="1"/>
  <c r="E189" i="1"/>
  <c r="D190" i="1" s="1"/>
  <c r="E190" i="1" s="1"/>
  <c r="F191" i="1" s="1"/>
  <c r="C36" i="4"/>
  <c r="E170" i="12"/>
  <c r="D171" i="12" s="1"/>
  <c r="E171" i="12" s="1"/>
  <c r="F172" i="12" s="1"/>
  <c r="E21" i="12" s="1"/>
  <c r="E19" i="12" s="1"/>
  <c r="E14" i="12"/>
  <c r="E21" i="1"/>
  <c r="D57" i="12"/>
  <c r="D75" i="1"/>
  <c r="E16" i="2"/>
  <c r="C32" i="4"/>
  <c r="C37" i="4" s="1"/>
  <c r="E15" i="1"/>
  <c r="E16" i="1" l="1"/>
  <c r="E14" i="1" s="1"/>
  <c r="F193" i="1"/>
  <c r="F291" i="1" s="1"/>
  <c r="E13" i="1" s="1"/>
  <c r="E23" i="2"/>
  <c r="E21" i="2" s="1"/>
  <c r="F201" i="2"/>
  <c r="F299" i="2" s="1"/>
  <c r="E20" i="2" s="1"/>
  <c r="C57" i="12"/>
  <c r="E57" i="12" s="1"/>
  <c r="E58" i="12" s="1"/>
  <c r="D59" i="12" s="1"/>
  <c r="E59" i="12" s="1"/>
  <c r="F60" i="12" s="1"/>
  <c r="C73" i="12"/>
  <c r="E73" i="12" s="1"/>
  <c r="E74" i="12" s="1"/>
  <c r="D75" i="12" s="1"/>
  <c r="E75" i="12" s="1"/>
  <c r="F76" i="12" s="1"/>
  <c r="E13" i="12" s="1"/>
  <c r="F217" i="12"/>
  <c r="E18" i="12" s="1"/>
  <c r="C82" i="2"/>
  <c r="E82" i="2" s="1"/>
  <c r="E83" i="2" s="1"/>
  <c r="D84" i="2" s="1"/>
  <c r="E84" i="2" s="1"/>
  <c r="F85" i="2" s="1"/>
  <c r="C75" i="1"/>
  <c r="E75" i="1" s="1"/>
  <c r="E76" i="1" s="1"/>
  <c r="D77" i="1" s="1"/>
  <c r="E77" i="1" s="1"/>
  <c r="F78" i="1" s="1"/>
  <c r="C66" i="2"/>
  <c r="E66" i="2" s="1"/>
  <c r="E67" i="2" s="1"/>
  <c r="D68" i="2" s="1"/>
  <c r="E68" i="2" s="1"/>
  <c r="F69" i="2" s="1"/>
  <c r="E13" i="2" s="1"/>
  <c r="C59" i="1"/>
  <c r="E59" i="1" s="1"/>
  <c r="E60" i="1" s="1"/>
  <c r="D61" i="1" s="1"/>
  <c r="E61" i="1" s="1"/>
  <c r="F62" i="1" s="1"/>
  <c r="E6" i="1" s="1"/>
  <c r="C93" i="1"/>
  <c r="E93" i="1" s="1"/>
  <c r="E94" i="1" s="1"/>
  <c r="D95" i="1" s="1"/>
  <c r="E95" i="1" s="1"/>
  <c r="F96" i="1" s="1"/>
  <c r="E8" i="1" s="1"/>
  <c r="C100" i="2"/>
  <c r="E100" i="2" s="1"/>
  <c r="E101" i="2" s="1"/>
  <c r="D102" i="2" s="1"/>
  <c r="E102" i="2" s="1"/>
  <c r="F103" i="2" s="1"/>
  <c r="E15" i="2" s="1"/>
  <c r="E12" i="12" l="1"/>
  <c r="F104" i="12"/>
  <c r="F242" i="12" s="1"/>
  <c r="E14" i="2"/>
  <c r="F129" i="2"/>
  <c r="E7" i="1"/>
  <c r="E11" i="12" l="1"/>
  <c r="D247" i="12"/>
  <c r="E247" i="12" s="1"/>
  <c r="F248" i="12" s="1"/>
  <c r="F250" i="12" s="1"/>
  <c r="E28" i="12" s="1"/>
  <c r="F324" i="2"/>
  <c r="E12" i="2"/>
  <c r="F253" i="12" l="1"/>
  <c r="F255" i="12" s="1"/>
  <c r="E29" i="12"/>
  <c r="D329" i="2"/>
  <c r="E329" i="2" s="1"/>
  <c r="F330" i="2" s="1"/>
  <c r="F332" i="2" s="1"/>
  <c r="J258" i="12" l="1"/>
  <c r="F260" i="12"/>
  <c r="D25" i="13"/>
  <c r="D33" i="13"/>
  <c r="D35" i="13"/>
  <c r="D9" i="13"/>
  <c r="D31" i="13"/>
  <c r="D13" i="13"/>
  <c r="D29" i="13"/>
  <c r="D11" i="13"/>
  <c r="D19" i="13"/>
  <c r="D27" i="13"/>
  <c r="D17" i="13"/>
  <c r="D23" i="13"/>
  <c r="F26" i="12"/>
  <c r="F22" i="12"/>
  <c r="F15" i="12"/>
  <c r="F16" i="12"/>
  <c r="F27" i="12"/>
  <c r="F21" i="12"/>
  <c r="F20" i="12"/>
  <c r="F25" i="12"/>
  <c r="F17" i="12"/>
  <c r="F24" i="12"/>
  <c r="F14" i="12"/>
  <c r="F23" i="12"/>
  <c r="F19" i="12"/>
  <c r="F13" i="12"/>
  <c r="F18" i="12"/>
  <c r="F12" i="12"/>
  <c r="F11" i="12"/>
  <c r="F28" i="12"/>
  <c r="F335" i="2"/>
  <c r="F340" i="2" s="1"/>
  <c r="E38" i="2"/>
  <c r="C4" i="13" l="1"/>
  <c r="C4" i="1"/>
  <c r="C4" i="7"/>
  <c r="C4" i="8"/>
  <c r="C4" i="17"/>
  <c r="C4" i="14"/>
  <c r="C4" i="16"/>
  <c r="H335" i="2"/>
  <c r="F37" i="2"/>
  <c r="F29" i="12"/>
  <c r="F17" i="2"/>
  <c r="F27" i="2"/>
  <c r="F31" i="2"/>
  <c r="F26" i="2"/>
  <c r="F33" i="2"/>
  <c r="F29" i="2"/>
  <c r="F36" i="2"/>
  <c r="F30" i="2"/>
  <c r="F34" i="2"/>
  <c r="F35" i="2"/>
  <c r="F24" i="2"/>
  <c r="F32" i="2"/>
  <c r="F18" i="2"/>
  <c r="F25" i="2"/>
  <c r="F19" i="2"/>
  <c r="F22" i="2"/>
  <c r="F28" i="2"/>
  <c r="F23" i="2"/>
  <c r="F16" i="2"/>
  <c r="F20" i="2"/>
  <c r="F21" i="2"/>
  <c r="F15" i="2"/>
  <c r="F13" i="2"/>
  <c r="F14" i="2"/>
  <c r="F12" i="2"/>
  <c r="C15" i="13" l="1"/>
  <c r="C21" i="13"/>
  <c r="E21" i="13" s="1"/>
  <c r="C19" i="13"/>
  <c r="E19" i="13" s="1"/>
  <c r="C17" i="13"/>
  <c r="E17" i="13" s="1"/>
  <c r="F38" i="2"/>
  <c r="E15" i="13" l="1"/>
  <c r="D321" i="1"/>
  <c r="E321" i="1"/>
  <c r="F322" i="1"/>
  <c r="F324" i="1"/>
  <c r="E30" i="1"/>
  <c r="F30" i="1"/>
  <c r="F10" i="1"/>
  <c r="E10" i="1"/>
  <c r="E11" i="13"/>
  <c r="C11" i="13"/>
  <c r="F5" i="1"/>
  <c r="F31" i="1"/>
  <c r="F23" i="13"/>
  <c r="E23" i="13"/>
  <c r="C23" i="13"/>
  <c r="E25" i="13"/>
  <c r="C25" i="13"/>
  <c r="E35" i="13"/>
  <c r="C35" i="13"/>
  <c r="E29" i="13"/>
  <c r="C29" i="13"/>
  <c r="E27" i="13"/>
  <c r="C27" i="13"/>
  <c r="E33" i="13"/>
  <c r="C33" i="13"/>
  <c r="C13" i="13"/>
  <c r="E13" i="13"/>
  <c r="F15" i="13"/>
  <c r="C37" i="13"/>
  <c r="E39" i="1"/>
  <c r="F18" i="1"/>
  <c r="F9" i="1"/>
  <c r="C2" i="8"/>
  <c r="F20" i="1"/>
  <c r="C2" i="16"/>
  <c r="F6" i="1"/>
  <c r="F13" i="1"/>
  <c r="F22" i="1"/>
  <c r="C2" i="17"/>
  <c r="F16" i="1"/>
  <c r="F24" i="1"/>
  <c r="F12" i="1"/>
  <c r="F19" i="1"/>
  <c r="F27" i="1"/>
  <c r="F15" i="1"/>
  <c r="F25" i="1"/>
  <c r="F8" i="1"/>
  <c r="F29" i="1"/>
  <c r="F23" i="1"/>
  <c r="C2" i="14"/>
  <c r="F7" i="1"/>
  <c r="F11" i="1"/>
  <c r="F28" i="1"/>
  <c r="F21" i="1"/>
  <c r="F14" i="1"/>
  <c r="C2" i="7"/>
  <c r="C2" i="15"/>
  <c r="F26" i="1"/>
  <c r="F17" i="1"/>
  <c r="C9" i="13"/>
  <c r="E9" i="13"/>
  <c r="E37" i="13"/>
  <c r="F331" i="1"/>
  <c r="F316" i="1"/>
  <c r="F327" i="1"/>
  <c r="H327" i="1"/>
  <c r="E31" i="13"/>
  <c r="E37" i="1"/>
  <c r="C110" i="1"/>
  <c r="E110" i="1"/>
  <c r="F112" i="1"/>
  <c r="F121" i="1"/>
  <c r="E5" i="1"/>
  <c r="E31" i="1"/>
  <c r="C2" i="13"/>
  <c r="C31" i="1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3" authorId="0" shapeId="0" xr:uid="{00000000-0006-0000-0000-000001000000}">
      <text/>
    </comment>
    <comment ref="B47" authorId="0" shapeId="0" xr:uid="{00000000-0006-0000-0000-000002000000}">
      <text>
        <r>
          <rPr>
            <b/>
            <sz val="9"/>
            <color rgb="FF000000"/>
            <rFont val="Arial"/>
            <family val="2"/>
          </rPr>
          <t>Informar o fator de utilização das equipes de coleta.</t>
        </r>
        <r>
          <rPr>
            <b/>
            <sz val="9"/>
            <color rgb="FF000000"/>
            <rFont val="Arial"/>
            <family val="2"/>
          </rPr>
          <t xml:space="preserve">
Por exemplo:</t>
        </r>
        <r>
          <rPr>
            <b/>
            <sz val="9"/>
            <color rgb="FF000000"/>
            <rFont val="Arial"/>
            <family val="2"/>
          </rPr>
          <t xml:space="preserve">
Equipes com utilização integral = 100%</t>
        </r>
        <r>
          <rPr>
            <b/>
            <sz val="9"/>
            <color rgb="FF000000"/>
            <rFont val="Arial"/>
            <family val="2"/>
          </rPr>
          <t xml:space="preserve">
Equipes com utilização parcial = n° horas trabalhadas por semana /44 horas</t>
        </r>
        <r>
          <rPr>
            <b/>
            <sz val="9"/>
            <color rgb="FF000000"/>
            <rFont val="Arial"/>
            <family val="2"/>
          </rPr>
          <t xml:space="preserve">
</t>
        </r>
      </text>
    </comment>
    <comment ref="D53" authorId="0" shapeId="0" xr:uid="{00000000-0006-0000-0000-000003000000}">
      <text>
        <r>
          <rPr>
            <sz val="9"/>
            <color rgb="FF000000"/>
            <rFont val="Arial"/>
            <family val="2"/>
          </rPr>
          <t>Informar o Piso da categoria fixado na Convenção Coletiva</t>
        </r>
      </text>
    </comment>
    <comment ref="A56" authorId="0" shapeId="0" xr:uid="{00000000-0006-0000-0000-000004000000}">
      <text>
        <r>
          <rPr>
            <sz val="9"/>
            <color rgb="FF000000"/>
            <rFont val="Arial"/>
            <family val="2"/>
          </rPr>
          <t>Cálculo do descanso semanal remunerado incidente sobre as horas extras habitualmente prestadas. Considerada a média de 63 feriados + domingos e 302 dias trabalhados por ano</t>
        </r>
        <r>
          <rPr>
            <sz val="9"/>
            <color rgb="FF000000"/>
            <rFont val="Arial"/>
            <family val="2"/>
          </rPr>
          <t xml:space="preserve">
</t>
        </r>
      </text>
    </comment>
    <comment ref="C59" authorId="0" shapeId="0" xr:uid="{00000000-0006-0000-0000-000005000000}">
      <text>
        <r>
          <rPr>
            <sz val="9"/>
            <color rgb="FF000000"/>
            <rFont val="Arial"/>
            <family val="2"/>
          </rPr>
          <t>Preencher a planilha Encargos Sociais e CAGED</t>
        </r>
      </text>
    </comment>
    <comment ref="C61" authorId="0" shapeId="0" xr:uid="{00000000-0006-0000-0000-000006000000}">
      <text>
        <r>
          <rPr>
            <sz val="9"/>
            <color rgb="FF000000"/>
            <rFont val="Arial"/>
            <family val="2"/>
          </rPr>
          <t>Informar a quantidade de trabalhadores na função</t>
        </r>
      </text>
    </comment>
    <comment ref="D67" authorId="0" shapeId="0" xr:uid="{00000000-0006-0000-0000-00000D000000}">
      <text>
        <r>
          <rPr>
            <sz val="9"/>
            <color rgb="FF000000"/>
            <rFont val="Arial"/>
            <family val="2"/>
          </rPr>
          <t>Informar o Piso da categoria fixado na Convenção Coletiva</t>
        </r>
      </text>
    </comment>
    <comment ref="D68" authorId="0" shapeId="0" xr:uid="{00000000-0006-0000-0000-00000E000000}">
      <text>
        <r>
          <rPr>
            <sz val="9"/>
            <color rgb="FF000000"/>
            <rFont val="Arial"/>
            <family val="2"/>
          </rPr>
          <t>Informar o valor do salário Mínimo Nacional</t>
        </r>
      </text>
    </comment>
    <comment ref="C69" authorId="0" shapeId="0" xr:uid="{00000000-0006-0000-0000-00000F000000}">
      <text>
        <r>
          <rPr>
            <sz val="9"/>
            <color rgb="FF000000"/>
            <rFont val="Arial"/>
            <family val="2"/>
          </rPr>
          <t>Informar o número de horas extras trabalhadas em horário diurno nos domingos e feriados</t>
        </r>
      </text>
    </comment>
    <comment ref="C70" authorId="0" shapeId="0" xr:uid="{00000000-0006-0000-0000-000010000000}">
      <text>
        <r>
          <rPr>
            <sz val="9"/>
            <color rgb="FF000000"/>
            <rFont val="Arial"/>
            <family val="2"/>
          </rPr>
          <t>Informar o número de horas extras trabalhadas em horário diurno de segunda a sábado</t>
        </r>
        <r>
          <rPr>
            <sz val="9"/>
            <color rgb="FF000000"/>
            <rFont val="Arial"/>
            <family val="2"/>
          </rPr>
          <t xml:space="preserve">
</t>
        </r>
      </text>
    </comment>
    <comment ref="A71" authorId="0" shapeId="0" xr:uid="{00000000-0006-0000-0000-000011000000}">
      <text>
        <r>
          <rPr>
            <sz val="9"/>
            <color rgb="FF000000"/>
            <rFont val="Arial"/>
            <family val="2"/>
          </rPr>
          <t>Cálculo do descanso semanal remunerado incidente sobre as horas extras habitualmente prestadas. Considerada a média de 63 feriados + domingos e 302 dias trabalhados por ano</t>
        </r>
        <r>
          <rPr>
            <sz val="9"/>
            <color rgb="FF000000"/>
            <rFont val="Arial"/>
            <family val="2"/>
          </rPr>
          <t xml:space="preserve">
</t>
        </r>
      </text>
    </comment>
    <comment ref="C72" authorId="0" shapeId="0" xr:uid="{00000000-0006-0000-0000-000012000000}">
      <text>
        <r>
          <rPr>
            <sz val="9"/>
            <color rgb="FF000000"/>
            <rFont val="Arial"/>
            <family val="2"/>
          </rPr>
          <t>Informar 1 se a base de cálculo for o Salário Mínimo Nacional; Informar 2 se a base de cálculo for o Piso da Categoria;</t>
        </r>
        <r>
          <rPr>
            <sz val="9"/>
            <color rgb="FF000000"/>
            <rFont val="Arial"/>
            <family val="2"/>
          </rPr>
          <t xml:space="preserve">
</t>
        </r>
      </text>
    </comment>
    <comment ref="C73" authorId="0" shapeId="0" xr:uid="{00000000-0006-0000-0000-000013000000}">
      <text>
        <r>
          <rPr>
            <sz val="9"/>
            <color rgb="FF000000"/>
            <rFont val="Arial"/>
            <family val="2"/>
          </rPr>
          <t>Percentual estabelecido nas Normas de Segurança de Trabalho ou pelo laudo de responsável técnico devidamente habilitado</t>
        </r>
      </text>
    </comment>
    <comment ref="C75" authorId="0" shapeId="0" xr:uid="{00000000-0006-0000-0000-000014000000}">
      <text>
        <r>
          <rPr>
            <sz val="9"/>
            <color rgb="FF000000"/>
            <rFont val="Arial"/>
            <family val="2"/>
          </rPr>
          <t>Preencher a planilha Encargos Sociais e CAGED</t>
        </r>
      </text>
    </comment>
    <comment ref="C77" authorId="0" shapeId="0" xr:uid="{00000000-0006-0000-0000-000015000000}">
      <text>
        <r>
          <rPr>
            <sz val="9"/>
            <color rgb="FF000000"/>
            <rFont val="Arial"/>
            <family val="2"/>
          </rPr>
          <t>Informar a quantidade de trabalhadores na função</t>
        </r>
      </text>
    </comment>
    <comment ref="C85" authorId="0" shapeId="0" xr:uid="{00000000-0006-0000-0000-00001F000000}">
      <text>
        <r>
          <rPr>
            <sz val="9"/>
            <color rgb="FF000000"/>
            <rFont val="Arial"/>
            <family val="2"/>
          </rPr>
          <t>Informar o número de horas noturnas trabalhadas no intervalo das 22:00h as 5:00h</t>
        </r>
      </text>
    </comment>
    <comment ref="C87" authorId="0" shapeId="0" xr:uid="{00000000-0006-0000-0000-000020000000}">
      <text>
        <r>
          <rPr>
            <sz val="9"/>
            <color rgb="FF000000"/>
            <rFont val="Arial"/>
            <family val="2"/>
          </rPr>
          <t>Informar o número de horas extras trabalhadas em horário noturno nos domingos e feriados</t>
        </r>
      </text>
    </comment>
    <comment ref="C88" authorId="0" shapeId="0" xr:uid="{00000000-0006-0000-0000-000022000000}">
      <text>
        <r>
          <rPr>
            <sz val="9"/>
            <color rgb="FF000000"/>
            <rFont val="Arial"/>
            <family val="2"/>
          </rPr>
          <t>Informar o número de horas extras trabalhadas em horário noturno de segunda à sábado</t>
        </r>
      </text>
    </comment>
    <comment ref="A89" authorId="0" shapeId="0" xr:uid="{00000000-0006-0000-0000-000024000000}">
      <text>
        <r>
          <rPr>
            <sz val="9"/>
            <color rgb="FF000000"/>
            <rFont val="Arial"/>
            <family val="2"/>
          </rPr>
          <t>Cálculo do descanso semanal remunerado incidente sobre as horas extras habitualmente prestadas. Considerados 63 feriados + domingos e 302 dias trabalhados por ano</t>
        </r>
        <r>
          <rPr>
            <sz val="9"/>
            <color rgb="FF000000"/>
            <rFont val="Arial"/>
            <family val="2"/>
          </rPr>
          <t xml:space="preserve">
</t>
        </r>
      </text>
    </comment>
    <comment ref="C90" authorId="0" shapeId="0" xr:uid="{00000000-0006-0000-0000-000025000000}">
      <text>
        <r>
          <rPr>
            <sz val="9"/>
            <color rgb="FF000000"/>
            <rFont val="Arial"/>
            <family val="2"/>
          </rPr>
          <t>Informar 1 se a base de cálculo for o Salário Mínimo Nacional; Informar 2 se a base de cálculo for o Piso da Categoria;</t>
        </r>
        <r>
          <rPr>
            <sz val="9"/>
            <color rgb="FF000000"/>
            <rFont val="Arial"/>
            <family val="2"/>
          </rPr>
          <t xml:space="preserve">
</t>
        </r>
      </text>
    </comment>
    <comment ref="C93" authorId="0" shapeId="0" xr:uid="{00000000-0006-0000-0000-000026000000}">
      <text>
        <r>
          <rPr>
            <sz val="9"/>
            <color rgb="FF000000"/>
            <rFont val="Arial"/>
            <family val="2"/>
          </rPr>
          <t>Preencher a planilha Encargos Sociais e CAGED</t>
        </r>
      </text>
    </comment>
    <comment ref="C95" authorId="0" shapeId="0" xr:uid="{00000000-0006-0000-0000-000027000000}">
      <text>
        <r>
          <rPr>
            <sz val="9"/>
            <color rgb="FF000000"/>
            <rFont val="Arial"/>
            <family val="2"/>
          </rPr>
          <t>Informar a quantidade de trabalhadores na função</t>
        </r>
      </text>
    </comment>
    <comment ref="D100" authorId="0" shapeId="0" xr:uid="{00000000-0006-0000-0000-000028000000}">
      <text>
        <r>
          <rPr>
            <sz val="9"/>
            <color rgb="FF000000"/>
            <rFont val="Arial"/>
            <family val="2"/>
          </rPr>
          <t>Informar o valor unitário do VT no município</t>
        </r>
      </text>
    </comment>
    <comment ref="C101" authorId="0" shapeId="0" xr:uid="{00000000-0006-0000-0000-000029000000}">
      <text>
        <r>
          <rPr>
            <sz val="9"/>
            <color rgb="FF000000"/>
            <rFont val="Arial"/>
            <family val="2"/>
          </rPr>
          <t>Informar o número médio de dias trabalhados por mês</t>
        </r>
      </text>
    </comment>
    <comment ref="D102" authorId="0" shapeId="0" xr:uid="{00000000-0006-0000-0000-00002A000000}">
      <text>
        <r>
          <rPr>
            <sz val="9"/>
            <color rgb="FF000000"/>
            <rFont val="Arial"/>
            <family val="2"/>
          </rPr>
          <t>Valor Unitário considerando o desconto legal de até 6% do salário</t>
        </r>
      </text>
    </comment>
    <comment ref="D103" authorId="0" shapeId="0" xr:uid="{00000000-0006-0000-0000-00002B000000}">
      <text>
        <r>
          <rPr>
            <sz val="9"/>
            <color rgb="FF000000"/>
            <rFont val="Arial"/>
            <family val="2"/>
          </rPr>
          <t>Valor Unitário considerando o desconto legal de até 6% do salário</t>
        </r>
        <r>
          <rPr>
            <sz val="9"/>
            <color rgb="FF000000"/>
            <rFont val="Arial"/>
            <family val="2"/>
          </rPr>
          <t xml:space="preserve">
</t>
        </r>
      </text>
    </comment>
    <comment ref="D109" authorId="0" shapeId="0" xr:uid="{00000000-0006-0000-0000-00002C000000}">
      <text>
        <r>
          <rPr>
            <sz val="9"/>
            <color rgb="FF000000"/>
            <rFont val="Arial"/>
            <family val="2"/>
          </rPr>
          <t>Informar o valor unitário diário do vale refeição, considerando o desconto aplicável ao funcionário, conforme Convenção Coletiva da categoria.</t>
        </r>
      </text>
    </comment>
    <comment ref="D110" authorId="0" shapeId="0" xr:uid="{00000000-0006-0000-0000-00002D000000}">
      <text>
        <r>
          <rPr>
            <sz val="9"/>
            <color rgb="FF000000"/>
            <rFont val="Arial"/>
            <family val="2"/>
          </rPr>
          <t>Informar o valor unitário diário do vale refeição, considerando o desconto aplicável ao funcionário, conforme Convenção Coletiva da categoria.</t>
        </r>
      </text>
    </comment>
    <comment ref="D116" authorId="0" shapeId="0" xr:uid="{00000000-0006-0000-0000-00002E000000}">
      <text>
        <r>
          <rPr>
            <sz val="9"/>
            <color rgb="FF000000"/>
            <rFont val="Arial"/>
            <family val="2"/>
          </rPr>
          <t>Informar o valor mensal do auxilio alimentação, considerando o desconto aplicável ao funcionário, conforme Convenção Coletiva da categoria</t>
        </r>
      </text>
    </comment>
    <comment ref="D117" authorId="0" shapeId="0" xr:uid="{00000000-0006-0000-0000-00002F000000}">
      <text>
        <r>
          <rPr>
            <sz val="9"/>
            <color rgb="FF000000"/>
            <rFont val="Arial"/>
            <family val="2"/>
          </rPr>
          <t>Informar o valor mensal do auxilio alimentação, considerando o desconto aplicável ao funcionário, conforme Convenção Coletiva da categoria</t>
        </r>
      </text>
    </comment>
    <comment ref="C128" authorId="0" shapeId="0" xr:uid="{00000000-0006-0000-0000-000030000000}">
      <text>
        <r>
          <rPr>
            <sz val="9"/>
            <color rgb="FF000000"/>
            <rFont val="Arial"/>
            <family val="2"/>
          </rPr>
          <t>Informar a durabilidade estimada em meses, para cada EPI</t>
        </r>
        <r>
          <rPr>
            <sz val="9"/>
            <color rgb="FF000000"/>
            <rFont val="Arial"/>
            <family val="2"/>
          </rPr>
          <t xml:space="preserve">
</t>
        </r>
      </text>
    </comment>
    <comment ref="D128" authorId="0" shapeId="0" xr:uid="{00000000-0006-0000-0000-000031000000}">
      <text>
        <r>
          <rPr>
            <sz val="9"/>
            <color rgb="FF000000"/>
            <rFont val="Arial"/>
            <family val="2"/>
          </rPr>
          <t>Informar o valor unitário estimado para aquisição de cada EPI</t>
        </r>
      </text>
    </comment>
    <comment ref="C129" authorId="0" shapeId="0" xr:uid="{00000000-0006-0000-0000-000032000000}">
      <text>
        <r>
          <rPr>
            <sz val="9"/>
            <color rgb="FF000000"/>
            <rFont val="Arial"/>
            <family val="2"/>
          </rPr>
          <t>Informar a durabilidade estimada em meses, para cada EPI</t>
        </r>
        <r>
          <rPr>
            <sz val="9"/>
            <color rgb="FF000000"/>
            <rFont val="Arial"/>
            <family val="2"/>
          </rPr>
          <t xml:space="preserve">
</t>
        </r>
      </text>
    </comment>
    <comment ref="D129" authorId="0" shapeId="0" xr:uid="{00000000-0006-0000-0000-000033000000}">
      <text>
        <r>
          <rPr>
            <sz val="9"/>
            <color rgb="FF000000"/>
            <rFont val="Arial"/>
            <family val="2"/>
          </rPr>
          <t>Informar o valor unitário estimado para aquisição de cada EPI</t>
        </r>
      </text>
    </comment>
    <comment ref="C130" authorId="0" shapeId="0" xr:uid="{00000000-0006-0000-0000-000034000000}">
      <text>
        <r>
          <rPr>
            <sz val="9"/>
            <color rgb="FF000000"/>
            <rFont val="Arial"/>
            <family val="2"/>
          </rPr>
          <t>Informar a durabilidade estimada em meses, para cada EPI</t>
        </r>
        <r>
          <rPr>
            <sz val="9"/>
            <color rgb="FF000000"/>
            <rFont val="Arial"/>
            <family val="2"/>
          </rPr>
          <t xml:space="preserve">
</t>
        </r>
      </text>
    </comment>
    <comment ref="D130" authorId="0" shapeId="0" xr:uid="{00000000-0006-0000-0000-000035000000}">
      <text>
        <r>
          <rPr>
            <sz val="9"/>
            <color rgb="FF000000"/>
            <rFont val="Arial"/>
            <family val="2"/>
          </rPr>
          <t>Informar o valor unitário estimado para aquisição de cada EPI</t>
        </r>
      </text>
    </comment>
    <comment ref="C131" authorId="0" shapeId="0" xr:uid="{00000000-0006-0000-0000-000036000000}">
      <text>
        <r>
          <rPr>
            <sz val="9"/>
            <color rgb="FF000000"/>
            <rFont val="Arial"/>
            <family val="2"/>
          </rPr>
          <t>Informar a durabilidade estimada em meses, para cada EPI</t>
        </r>
        <r>
          <rPr>
            <sz val="9"/>
            <color rgb="FF000000"/>
            <rFont val="Arial"/>
            <family val="2"/>
          </rPr>
          <t xml:space="preserve">
</t>
        </r>
      </text>
    </comment>
    <comment ref="D131" authorId="0" shapeId="0" xr:uid="{00000000-0006-0000-0000-000037000000}">
      <text>
        <r>
          <rPr>
            <sz val="9"/>
            <color rgb="FF000000"/>
            <rFont val="Arial"/>
            <family val="2"/>
          </rPr>
          <t>Informar o valor unitário estimado para aquisição de cada EPI</t>
        </r>
      </text>
    </comment>
    <comment ref="C132" authorId="0" shapeId="0" xr:uid="{00000000-0006-0000-0000-000038000000}">
      <text>
        <r>
          <rPr>
            <sz val="9"/>
            <color rgb="FF000000"/>
            <rFont val="Arial"/>
            <family val="2"/>
          </rPr>
          <t>Informar a durabilidade estimada em meses, para cada EPI</t>
        </r>
        <r>
          <rPr>
            <sz val="9"/>
            <color rgb="FF000000"/>
            <rFont val="Arial"/>
            <family val="2"/>
          </rPr>
          <t xml:space="preserve">
</t>
        </r>
      </text>
    </comment>
    <comment ref="D132" authorId="0" shapeId="0" xr:uid="{00000000-0006-0000-0000-000039000000}">
      <text>
        <r>
          <rPr>
            <sz val="9"/>
            <color rgb="FF000000"/>
            <rFont val="Arial"/>
            <family val="2"/>
          </rPr>
          <t>Informar o valor unitário estimado para aquisição de cada EPI</t>
        </r>
      </text>
    </comment>
    <comment ref="C133" authorId="0" shapeId="0" xr:uid="{00000000-0006-0000-0000-00003A000000}">
      <text>
        <r>
          <rPr>
            <sz val="9"/>
            <color rgb="FF000000"/>
            <rFont val="Arial"/>
            <family val="2"/>
          </rPr>
          <t>Informar a durabilidade estimada em meses, para cada EPI</t>
        </r>
        <r>
          <rPr>
            <sz val="9"/>
            <color rgb="FF000000"/>
            <rFont val="Arial"/>
            <family val="2"/>
          </rPr>
          <t xml:space="preserve">
</t>
        </r>
      </text>
    </comment>
    <comment ref="D133" authorId="0" shapeId="0" xr:uid="{00000000-0006-0000-0000-00003B000000}">
      <text>
        <r>
          <rPr>
            <sz val="9"/>
            <color rgb="FF000000"/>
            <rFont val="Arial"/>
            <family val="2"/>
          </rPr>
          <t>Informar o valor unitário estimado para aquisição de cada EPI</t>
        </r>
      </text>
    </comment>
    <comment ref="C134" authorId="0" shapeId="0" xr:uid="{00000000-0006-0000-0000-00003C000000}">
      <text>
        <r>
          <rPr>
            <sz val="9"/>
            <color rgb="FF000000"/>
            <rFont val="Arial"/>
            <family val="2"/>
          </rPr>
          <t>Informar a durabilidade estimada em meses, para cada EPI</t>
        </r>
        <r>
          <rPr>
            <sz val="9"/>
            <color rgb="FF000000"/>
            <rFont val="Arial"/>
            <family val="2"/>
          </rPr>
          <t xml:space="preserve">
</t>
        </r>
      </text>
    </comment>
    <comment ref="D134" authorId="0" shapeId="0" xr:uid="{00000000-0006-0000-0000-00003D000000}">
      <text>
        <r>
          <rPr>
            <sz val="9"/>
            <color rgb="FF000000"/>
            <rFont val="Arial"/>
            <family val="2"/>
          </rPr>
          <t>Informar o valor unitário estimado para aquisição de cada EPI</t>
        </r>
      </text>
    </comment>
    <comment ref="C135" authorId="0" shapeId="0" xr:uid="{00000000-0006-0000-0000-00003E000000}">
      <text>
        <r>
          <rPr>
            <sz val="9"/>
            <color rgb="FF000000"/>
            <rFont val="Arial"/>
            <family val="2"/>
          </rPr>
          <t>Informar a durabilidade estimada em meses, para cada EPI</t>
        </r>
        <r>
          <rPr>
            <sz val="9"/>
            <color rgb="FF000000"/>
            <rFont val="Arial"/>
            <family val="2"/>
          </rPr>
          <t xml:space="preserve">
</t>
        </r>
      </text>
    </comment>
    <comment ref="D135" authorId="0" shapeId="0" xr:uid="{00000000-0006-0000-0000-00003F000000}">
      <text>
        <r>
          <rPr>
            <sz val="9"/>
            <color rgb="FF000000"/>
            <rFont val="Arial"/>
            <family val="2"/>
          </rPr>
          <t>Informar o valor unitário estimado para aquisição de cada EPI</t>
        </r>
      </text>
    </comment>
    <comment ref="C136" authorId="0" shapeId="0" xr:uid="{00000000-0006-0000-0000-000040000000}">
      <text>
        <r>
          <rPr>
            <sz val="9"/>
            <color rgb="FF000000"/>
            <rFont val="Arial"/>
            <family val="2"/>
          </rPr>
          <t>Informar a durabilidade estimada em meses, para cada EPI</t>
        </r>
        <r>
          <rPr>
            <sz val="9"/>
            <color rgb="FF000000"/>
            <rFont val="Arial"/>
            <family val="2"/>
          </rPr>
          <t xml:space="preserve">
</t>
        </r>
      </text>
    </comment>
    <comment ref="D136" authorId="0" shapeId="0" xr:uid="{00000000-0006-0000-0000-000041000000}">
      <text>
        <r>
          <rPr>
            <sz val="9"/>
            <color rgb="FF000000"/>
            <rFont val="Arial"/>
            <family val="2"/>
          </rPr>
          <t>Informar o valor unitário estimado para aquisição de cada EPI</t>
        </r>
      </text>
    </comment>
    <comment ref="D137" authorId="0" shapeId="0" xr:uid="{00000000-0006-0000-0000-000042000000}">
      <text>
        <r>
          <rPr>
            <sz val="9"/>
            <color rgb="FF000000"/>
            <rFont val="Arial"/>
            <family val="2"/>
          </rPr>
          <t>Informar o valor mensal de higienização de uniforme para 1 funcionário</t>
        </r>
      </text>
    </comment>
    <comment ref="C144" authorId="0" shapeId="0" xr:uid="{00000000-0006-0000-0000-000043000000}">
      <text>
        <r>
          <rPr>
            <sz val="9"/>
            <color rgb="FF000000"/>
            <rFont val="Arial"/>
            <family val="2"/>
          </rPr>
          <t>Informar a durabilidade estimada em meses, para cada EPI</t>
        </r>
        <r>
          <rPr>
            <sz val="9"/>
            <color rgb="FF000000"/>
            <rFont val="Arial"/>
            <family val="2"/>
          </rPr>
          <t xml:space="preserve">
</t>
        </r>
      </text>
    </comment>
    <comment ref="C145" authorId="0" shapeId="0" xr:uid="{00000000-0006-0000-0000-000044000000}">
      <text>
        <r>
          <rPr>
            <sz val="9"/>
            <color rgb="FF000000"/>
            <rFont val="Arial"/>
            <family val="2"/>
          </rPr>
          <t>Informar a durabilidade estimada em meses, para cada EPI</t>
        </r>
        <r>
          <rPr>
            <sz val="9"/>
            <color rgb="FF000000"/>
            <rFont val="Arial"/>
            <family val="2"/>
          </rPr>
          <t xml:space="preserve">
</t>
        </r>
      </text>
    </comment>
    <comment ref="C146" authorId="0" shapeId="0" xr:uid="{00000000-0006-0000-0000-000045000000}">
      <text>
        <r>
          <rPr>
            <sz val="9"/>
            <color rgb="FF000000"/>
            <rFont val="Arial"/>
            <family val="2"/>
          </rPr>
          <t>Informar a durabilidade estimada em meses, para cada EPI</t>
        </r>
        <r>
          <rPr>
            <sz val="9"/>
            <color rgb="FF000000"/>
            <rFont val="Arial"/>
            <family val="2"/>
          </rPr>
          <t xml:space="preserve">
</t>
        </r>
      </text>
    </comment>
    <comment ref="C147" authorId="0" shapeId="0" xr:uid="{00000000-0006-0000-0000-000046000000}">
      <text>
        <r>
          <rPr>
            <sz val="9"/>
            <color rgb="FF000000"/>
            <rFont val="Arial"/>
            <family val="2"/>
          </rPr>
          <t>Informar a durabilidade estimada em meses, para cada EPI</t>
        </r>
        <r>
          <rPr>
            <sz val="9"/>
            <color rgb="FF000000"/>
            <rFont val="Arial"/>
            <family val="2"/>
          </rPr>
          <t xml:space="preserve">
</t>
        </r>
      </text>
    </comment>
    <comment ref="C148" authorId="0" shapeId="0" xr:uid="{00000000-0006-0000-0000-000047000000}">
      <text>
        <r>
          <rPr>
            <sz val="9"/>
            <color rgb="FF000000"/>
            <rFont val="Arial"/>
            <family val="2"/>
          </rPr>
          <t>Informar a durabilidade estimada em meses, para cada EPI</t>
        </r>
        <r>
          <rPr>
            <sz val="9"/>
            <color rgb="FF000000"/>
            <rFont val="Arial"/>
            <family val="2"/>
          </rPr>
          <t xml:space="preserve">
</t>
        </r>
      </text>
    </comment>
    <comment ref="D161" authorId="0" shapeId="0" xr:uid="{00000000-0006-0000-0000-000048000000}">
      <text>
        <r>
          <rPr>
            <sz val="9"/>
            <color rgb="FF000000"/>
            <rFont val="Arial"/>
            <family val="2"/>
          </rPr>
          <t>Informar o preço unitário do chassis do caminhão de coleta</t>
        </r>
      </text>
    </comment>
    <comment ref="C162" authorId="0" shapeId="0" xr:uid="{00000000-0006-0000-0000-000049000000}">
      <text>
        <r>
          <rPr>
            <sz val="9"/>
            <color rgb="FF000000"/>
            <rFont val="Arial"/>
            <family val="2"/>
          </rPr>
          <t>Informar a vida útil estimada para o caminhão, em anos</t>
        </r>
      </text>
    </comment>
    <comment ref="C163" authorId="0" shapeId="0" xr:uid="{00000000-0006-0000-0000-00004A000000}">
      <text>
        <r>
          <rPr>
            <sz val="9"/>
            <color rgb="FF000000"/>
            <rFont val="Arial"/>
            <family val="2"/>
          </rPr>
          <t>Na elaboração do orçamento-base da licitação, informar 0 (zero). Na proposta da licitante, informar a idade do veículo proposto.</t>
        </r>
      </text>
    </comment>
    <comment ref="C164" authorId="0" shapeId="0" xr:uid="{00000000-0006-0000-0000-00004B000000}">
      <text>
        <r>
          <rPr>
            <b/>
            <sz val="9"/>
            <color rgb="FF000000"/>
            <rFont val="Arial"/>
            <family val="2"/>
          </rPr>
          <t>Informar o valor da depreciação do caminhão, adotando o valor sugerido pelo TCE ou outro valor estimado</t>
        </r>
        <r>
          <rPr>
            <b/>
            <sz val="9"/>
            <color rgb="FF000000"/>
            <rFont val="Arial"/>
            <family val="2"/>
          </rPr>
          <t xml:space="preserve">
</t>
        </r>
      </text>
    </comment>
    <comment ref="D166" authorId="0" shapeId="0" xr:uid="{00000000-0006-0000-0000-00004C000000}">
      <text>
        <r>
          <rPr>
            <sz val="9"/>
            <color rgb="FF000000"/>
            <rFont val="Arial"/>
            <family val="2"/>
          </rPr>
          <t>Informar o preço unitário do equipamento compactador</t>
        </r>
        <r>
          <rPr>
            <sz val="9"/>
            <color rgb="FF000000"/>
            <rFont val="Arial"/>
            <family val="2"/>
          </rPr>
          <t xml:space="preserve">
</t>
        </r>
      </text>
    </comment>
    <comment ref="C167" authorId="0" shapeId="0" xr:uid="{00000000-0006-0000-0000-00004D000000}">
      <text>
        <r>
          <rPr>
            <sz val="9"/>
            <color rgb="FF000000"/>
            <rFont val="Arial"/>
            <family val="2"/>
          </rPr>
          <t>Informar a vida útil estimada para o compactador, em anos</t>
        </r>
      </text>
    </comment>
    <comment ref="C168" authorId="0" shapeId="0" xr:uid="{00000000-0006-0000-0000-00004E000000}">
      <text>
        <r>
          <rPr>
            <sz val="9"/>
            <color rgb="FF000000"/>
            <rFont val="Arial"/>
            <family val="2"/>
          </rPr>
          <t>Na elaboração do orçamento-base da licitação, informar 0 (zero). Na proposta da licitante, informar a idade do compactador proposto.</t>
        </r>
      </text>
    </comment>
    <comment ref="C169" authorId="0" shapeId="0" xr:uid="{00000000-0006-0000-0000-00004F000000}">
      <text>
        <r>
          <rPr>
            <b/>
            <sz val="9"/>
            <color rgb="FF000000"/>
            <rFont val="Arial"/>
            <family val="2"/>
          </rPr>
          <t>Informar o valor da depreciação do compactador, adotando o valor sugerido pelo TCE ou outro valor estimado</t>
        </r>
        <r>
          <rPr>
            <b/>
            <sz val="9"/>
            <color rgb="FF000000"/>
            <rFont val="Arial"/>
            <family val="2"/>
          </rPr>
          <t xml:space="preserve">
</t>
        </r>
      </text>
    </comment>
    <comment ref="C172" authorId="0" shapeId="0" xr:uid="{00000000-0006-0000-0000-000050000000}">
      <text>
        <r>
          <rPr>
            <sz val="9"/>
            <color rgb="FF000000"/>
            <rFont val="Arial"/>
            <family val="2"/>
          </rPr>
          <t>Informar a quantidade de caminhões compactadores do respectivo modelo</t>
        </r>
      </text>
    </comment>
    <comment ref="C180" authorId="0" shapeId="0" xr:uid="{00000000-0006-0000-0000-000051000000}">
      <text>
        <r>
          <rPr>
            <b/>
            <sz val="9"/>
            <color rgb="FF000000"/>
            <rFont val="Arial"/>
            <family val="2"/>
          </rPr>
          <t>Informar a taxa de juros anual para remuneração do capital. Recomenda-se o uso da Taxa SELIC</t>
        </r>
        <r>
          <rPr>
            <b/>
            <sz val="9"/>
            <color rgb="FF000000"/>
            <rFont val="Arial"/>
            <family val="2"/>
          </rPr>
          <t xml:space="preserve">
</t>
        </r>
      </text>
    </comment>
    <comment ref="D198" authorId="0" shapeId="0" xr:uid="{00000000-0006-0000-0000-000052000000}">
      <text>
        <r>
          <rPr>
            <sz val="9"/>
            <color rgb="FF000000"/>
            <rFont val="Arial"/>
            <family val="2"/>
          </rPr>
          <t>Informar o valor do seguro obrigatório e licenciamento anual de um caminhão</t>
        </r>
        <r>
          <rPr>
            <sz val="9"/>
            <color rgb="FF000000"/>
            <rFont val="Arial"/>
            <family val="2"/>
          </rPr>
          <t xml:space="preserve">
</t>
        </r>
      </text>
    </comment>
    <comment ref="D199" authorId="0" shapeId="0" xr:uid="{00000000-0006-0000-0000-000053000000}">
      <text>
        <r>
          <rPr>
            <sz val="9"/>
            <color rgb="FF000000"/>
            <rFont val="Arial"/>
            <family val="2"/>
          </rPr>
          <t>Informar o valor do seguro contra terceiros de um caminhão, se houver previsão no Projeto Básico</t>
        </r>
        <r>
          <rPr>
            <sz val="9"/>
            <color rgb="FF000000"/>
            <rFont val="Arial"/>
            <family val="2"/>
          </rPr>
          <t xml:space="preserve">
</t>
        </r>
      </text>
    </comment>
    <comment ref="B205" authorId="0" shapeId="0" xr:uid="{00000000-0006-0000-0000-000054000000}">
      <text>
        <r>
          <rPr>
            <sz val="9"/>
            <color rgb="FF000000"/>
            <rFont val="Arial"/>
            <family val="2"/>
          </rPr>
          <t>Informar a quilometragem mensal percorrida, de acordo com o projeto básico</t>
        </r>
        <r>
          <rPr>
            <sz val="9"/>
            <color rgb="FF000000"/>
            <rFont val="Arial"/>
            <family val="2"/>
          </rPr>
          <t xml:space="preserve">
</t>
        </r>
      </text>
    </comment>
    <comment ref="C208" authorId="0" shapeId="0" xr:uid="{00000000-0006-0000-0000-000055000000}">
      <text>
        <r>
          <rPr>
            <sz val="9"/>
            <color rgb="FF000000"/>
            <rFont val="Arial"/>
            <family val="2"/>
          </rPr>
          <t>Informar o consumo estimado do veículo em km/l</t>
        </r>
      </text>
    </comment>
    <comment ref="D208" authorId="0" shapeId="0" xr:uid="{00000000-0006-0000-0000-000056000000}">
      <text>
        <r>
          <rPr>
            <sz val="9"/>
            <color rgb="FF000000"/>
            <rFont val="Arial"/>
            <family val="2"/>
          </rPr>
          <t>Informar o preço unitário do combustivel</t>
        </r>
        <r>
          <rPr>
            <sz val="9"/>
            <color rgb="FF000000"/>
            <rFont val="Arial"/>
            <family val="2"/>
          </rPr>
          <t xml:space="preserve">
</t>
        </r>
      </text>
    </comment>
    <comment ref="C210" authorId="0" shapeId="0" xr:uid="{00000000-0006-0000-0000-000057000000}">
      <text>
        <r>
          <rPr>
            <sz val="9"/>
            <color rgb="FF000000"/>
            <rFont val="Arial"/>
            <family val="2"/>
          </rPr>
          <t>Informar o consumo de óleo do motor a cada 1000km</t>
        </r>
      </text>
    </comment>
    <comment ref="C212" authorId="0" shapeId="0" xr:uid="{00000000-0006-0000-0000-000058000000}">
      <text>
        <r>
          <rPr>
            <sz val="9"/>
            <color rgb="FF000000"/>
            <rFont val="Arial"/>
            <family val="2"/>
          </rPr>
          <t>Informar o consumo de óleo da transmissão a cada 1000km</t>
        </r>
      </text>
    </comment>
    <comment ref="D212" authorId="0" shapeId="0" xr:uid="{00000000-0006-0000-0000-000059000000}">
      <text>
        <r>
          <rPr>
            <sz val="9"/>
            <color rgb="FF000000"/>
            <rFont val="Arial"/>
            <family val="2"/>
          </rPr>
          <t>Informar o preço unitário do litro do óleo da transmissão</t>
        </r>
        <r>
          <rPr>
            <sz val="9"/>
            <color rgb="FF000000"/>
            <rFont val="Arial"/>
            <family val="2"/>
          </rPr>
          <t xml:space="preserve">
</t>
        </r>
      </text>
    </comment>
    <comment ref="C214" authorId="0" shapeId="0" xr:uid="{00000000-0006-0000-0000-00005A000000}">
      <text>
        <r>
          <rPr>
            <sz val="9"/>
            <color rgb="FF000000"/>
            <rFont val="Arial"/>
            <family val="2"/>
          </rPr>
          <t>Informar o consumo de óleo hidráulico a cada 1000km</t>
        </r>
      </text>
    </comment>
    <comment ref="D214" authorId="0" shapeId="0" xr:uid="{00000000-0006-0000-0000-00005B000000}">
      <text>
        <r>
          <rPr>
            <sz val="9"/>
            <color rgb="FF000000"/>
            <rFont val="Arial"/>
            <family val="2"/>
          </rPr>
          <t>Informar o preço unitário do litro do óleo hidráulico</t>
        </r>
        <r>
          <rPr>
            <sz val="9"/>
            <color rgb="FF000000"/>
            <rFont val="Arial"/>
            <family val="2"/>
          </rPr>
          <t xml:space="preserve">
</t>
        </r>
      </text>
    </comment>
    <comment ref="C216" authorId="0" shapeId="0" xr:uid="{00000000-0006-0000-0000-00005C000000}">
      <text>
        <r>
          <rPr>
            <sz val="9"/>
            <color rgb="FF000000"/>
            <rFont val="Arial"/>
            <family val="2"/>
          </rPr>
          <t>Informar o consumo de graxa a cada 1000km</t>
        </r>
      </text>
    </comment>
    <comment ref="D216" authorId="0" shapeId="0" xr:uid="{00000000-0006-0000-0000-00005D000000}">
      <text>
        <r>
          <rPr>
            <sz val="9"/>
            <color rgb="FF000000"/>
            <rFont val="Arial"/>
            <family val="2"/>
          </rPr>
          <t>Informar o preço unitário do litro da graxa</t>
        </r>
        <r>
          <rPr>
            <sz val="9"/>
            <color rgb="FF000000"/>
            <rFont val="Arial"/>
            <family val="2"/>
          </rPr>
          <t xml:space="preserve">
</t>
        </r>
      </text>
    </comment>
    <comment ref="C228" authorId="0" shapeId="0" xr:uid="{00000000-0006-0000-0000-00005E000000}">
      <text>
        <r>
          <rPr>
            <sz val="9"/>
            <color rgb="FF000000"/>
            <rFont val="Arial"/>
            <family val="2"/>
          </rPr>
          <t>Informar a quantidade de pneus novos de 1 caminhão</t>
        </r>
      </text>
    </comment>
    <comment ref="C229" authorId="0" shapeId="0" xr:uid="{00000000-0006-0000-0000-00005F000000}">
      <text>
        <r>
          <rPr>
            <sz val="9"/>
            <color rgb="FF000000"/>
            <rFont val="Arial"/>
            <family val="2"/>
          </rPr>
          <t>Informar o número de recapagens por pneu</t>
        </r>
      </text>
    </comment>
    <comment ref="C231" authorId="0" shapeId="0" xr:uid="{00000000-0006-0000-0000-000060000000}">
      <text>
        <r>
          <rPr>
            <sz val="9"/>
            <color rgb="FF000000"/>
            <rFont val="Arial"/>
            <family val="2"/>
          </rPr>
          <t>Informar a durabilidade média dos pneus considerando todas as recapagens, em km</t>
        </r>
        <r>
          <rPr>
            <sz val="9"/>
            <color rgb="FF000000"/>
            <rFont val="Arial"/>
            <family val="2"/>
          </rPr>
          <t xml:space="preserve">
</t>
        </r>
      </text>
    </comment>
    <comment ref="D239" authorId="0" shapeId="0" xr:uid="{00000000-0006-0000-0000-000061000000}">
      <text>
        <r>
          <rPr>
            <sz val="9"/>
            <color rgb="FF000000"/>
            <rFont val="Arial"/>
            <family val="2"/>
          </rPr>
          <t>Informar o preço unitário do chassis do caminhão de coleta</t>
        </r>
      </text>
    </comment>
    <comment ref="C240" authorId="0" shapeId="0" xr:uid="{00000000-0006-0000-0000-000062000000}">
      <text>
        <r>
          <rPr>
            <sz val="9"/>
            <color rgb="FF000000"/>
            <rFont val="Arial"/>
            <family val="2"/>
          </rPr>
          <t>Informar a vida útil estimada para o caminhão, em anos</t>
        </r>
      </text>
    </comment>
    <comment ref="C241" authorId="0" shapeId="0" xr:uid="{00000000-0006-0000-0000-000063000000}">
      <text>
        <r>
          <rPr>
            <sz val="9"/>
            <color rgb="FF000000"/>
            <rFont val="Arial"/>
            <family val="2"/>
          </rPr>
          <t>Na elaboração do orçamento-base da licitação, informar 0 (zero). Na proposta da licitante, informar a idade do veículo proposto.</t>
        </r>
      </text>
    </comment>
    <comment ref="C242" authorId="0" shapeId="0" xr:uid="{00000000-0006-0000-0000-000064000000}">
      <text>
        <r>
          <rPr>
            <b/>
            <sz val="9"/>
            <color rgb="FF000000"/>
            <rFont val="Arial"/>
            <family val="2"/>
          </rPr>
          <t>Informar o valor da depreciação do caminhão, adotando o valor sugerido pelo TCE ou outro valor estimado</t>
        </r>
        <r>
          <rPr>
            <b/>
            <sz val="9"/>
            <color rgb="FF000000"/>
            <rFont val="Arial"/>
            <family val="2"/>
          </rPr>
          <t xml:space="preserve">
</t>
        </r>
      </text>
    </comment>
    <comment ref="C245" authorId="0" shapeId="0" xr:uid="{00000000-0006-0000-0000-000065000000}">
      <text>
        <r>
          <rPr>
            <sz val="9"/>
            <color rgb="FF000000"/>
            <rFont val="Arial"/>
            <family val="2"/>
          </rPr>
          <t>Informar a quantidade de caminhões compactadores do respectivo modelo</t>
        </r>
      </text>
    </comment>
    <comment ref="C251" authorId="0" shapeId="0" xr:uid="{00000000-0006-0000-0000-000066000000}">
      <text>
        <r>
          <rPr>
            <b/>
            <sz val="9"/>
            <color rgb="FF000000"/>
            <rFont val="Arial"/>
            <family val="2"/>
          </rPr>
          <t>Informar a taxa de juros anual para remuneração do capital. Recomenda-se o uso da Taxa SELIC</t>
        </r>
        <r>
          <rPr>
            <b/>
            <sz val="9"/>
            <color rgb="FF000000"/>
            <rFont val="Arial"/>
            <family val="2"/>
          </rPr>
          <t xml:space="preserve">
</t>
        </r>
      </text>
    </comment>
    <comment ref="D262" authorId="0" shapeId="0" xr:uid="{00000000-0006-0000-0000-000067000000}">
      <text>
        <r>
          <rPr>
            <sz val="9"/>
            <color rgb="FF000000"/>
            <rFont val="Arial"/>
            <family val="2"/>
          </rPr>
          <t>Informar o valor do seguro obrigatório e licenciamento anual de um caminhão</t>
        </r>
        <r>
          <rPr>
            <sz val="9"/>
            <color rgb="FF000000"/>
            <rFont val="Arial"/>
            <family val="2"/>
          </rPr>
          <t xml:space="preserve">
</t>
        </r>
      </text>
    </comment>
    <comment ref="D263" authorId="0" shapeId="0" xr:uid="{00000000-0006-0000-0000-000068000000}">
      <text>
        <r>
          <rPr>
            <sz val="9"/>
            <color rgb="FF000000"/>
            <rFont val="Arial"/>
            <family val="2"/>
          </rPr>
          <t>Informar o valor do seguro contra terceiros de um caminhão, se houver previsão no Projeto Básico</t>
        </r>
        <r>
          <rPr>
            <sz val="9"/>
            <color rgb="FF000000"/>
            <rFont val="Arial"/>
            <family val="2"/>
          </rPr>
          <t xml:space="preserve">
</t>
        </r>
      </text>
    </comment>
    <comment ref="B268" authorId="0" shapeId="0" xr:uid="{00000000-0006-0000-0000-000069000000}">
      <text>
        <r>
          <rPr>
            <sz val="9"/>
            <color rgb="FF000000"/>
            <rFont val="Arial"/>
            <family val="2"/>
          </rPr>
          <t>Informar a quilometragem mensal percorrida, de acordo com o projeto básico</t>
        </r>
        <r>
          <rPr>
            <sz val="9"/>
            <color rgb="FF000000"/>
            <rFont val="Arial"/>
            <family val="2"/>
          </rPr>
          <t xml:space="preserve">
</t>
        </r>
      </text>
    </comment>
    <comment ref="C271" authorId="0" shapeId="0" xr:uid="{00000000-0006-0000-0000-00006A000000}">
      <text>
        <r>
          <rPr>
            <sz val="9"/>
            <color rgb="FF000000"/>
            <rFont val="Arial"/>
            <family val="2"/>
          </rPr>
          <t>Informar o consumo estimado do veículo em km/l</t>
        </r>
      </text>
    </comment>
    <comment ref="D271" authorId="0" shapeId="0" xr:uid="{00000000-0006-0000-0000-00006B000000}">
      <text>
        <r>
          <rPr>
            <sz val="9"/>
            <color rgb="FF000000"/>
            <rFont val="Arial"/>
            <family val="2"/>
          </rPr>
          <t>Informar o preço unitário do combustivel</t>
        </r>
        <r>
          <rPr>
            <sz val="9"/>
            <color rgb="FF000000"/>
            <rFont val="Arial"/>
            <family val="2"/>
          </rPr>
          <t xml:space="preserve">
</t>
        </r>
      </text>
    </comment>
    <comment ref="C273" authorId="0" shapeId="0" xr:uid="{00000000-0006-0000-0000-00006C000000}">
      <text>
        <r>
          <rPr>
            <sz val="9"/>
            <color rgb="FF000000"/>
            <rFont val="Arial"/>
            <family val="2"/>
          </rPr>
          <t>Informar o consumo de óleo do motor a cada 1000km</t>
        </r>
      </text>
    </comment>
    <comment ref="C285" authorId="0" shapeId="0" xr:uid="{00000000-0006-0000-0000-00006D000000}">
      <text>
        <r>
          <rPr>
            <sz val="9"/>
            <color rgb="FF000000"/>
            <rFont val="Arial"/>
            <family val="2"/>
          </rPr>
          <t>Informar a quantidade de pneus novos de 1 caminhão</t>
        </r>
      </text>
    </comment>
    <comment ref="C286" authorId="0" shapeId="0" xr:uid="{00000000-0006-0000-0000-00006E000000}">
      <text>
        <r>
          <rPr>
            <sz val="9"/>
            <color rgb="FF000000"/>
            <rFont val="Arial"/>
            <family val="2"/>
          </rPr>
          <t>Informar a durabilidade média dos pneus considerando todas as recapagens, em km</t>
        </r>
        <r>
          <rPr>
            <sz val="9"/>
            <color rgb="FF000000"/>
            <rFont val="Arial"/>
            <family val="2"/>
          </rPr>
          <t xml:space="preserve">
</t>
        </r>
      </text>
    </comment>
    <comment ref="C296" authorId="0" shapeId="0" xr:uid="{00000000-0006-0000-0000-00006F000000}">
      <text>
        <r>
          <rPr>
            <sz val="9"/>
            <color rgb="FF000000"/>
            <rFont val="Arial"/>
            <family val="2"/>
          </rPr>
          <t>Informar a quantidade estimada por mês. Por exemplo, se a durabilidade estimada é de 6 meses, informar 1/6; se a durabilidade estimada é de 3 meses informar 1/3, etc..</t>
        </r>
        <r>
          <rPr>
            <sz val="9"/>
            <color rgb="FF000000"/>
            <rFont val="Arial"/>
            <family val="2"/>
          </rPr>
          <t xml:space="preserve">
</t>
        </r>
      </text>
    </comment>
    <comment ref="D296" authorId="0" shapeId="0" xr:uid="{00000000-0006-0000-0000-000070000000}">
      <text>
        <r>
          <rPr>
            <sz val="9"/>
            <color rgb="FF000000"/>
            <rFont val="Arial"/>
            <family val="2"/>
          </rPr>
          <t>Informar o valor unitário estimado para aquisição de cada material</t>
        </r>
      </text>
    </comment>
    <comment ref="C297" authorId="0" shapeId="0" xr:uid="{00000000-0006-0000-0000-000071000000}">
      <text>
        <r>
          <rPr>
            <sz val="9"/>
            <color rgb="FF000000"/>
            <rFont val="Arial"/>
            <family val="2"/>
          </rPr>
          <t>Informar a quantidade estimada por mês. Por exemplo, se a durabilidade estimada é de 6 meses, informar 1/6; se a durabilidade estimada é de 3 meses informar 1/3, etc..</t>
        </r>
        <r>
          <rPr>
            <sz val="9"/>
            <color rgb="FF000000"/>
            <rFont val="Arial"/>
            <family val="2"/>
          </rPr>
          <t xml:space="preserve">
</t>
        </r>
      </text>
    </comment>
    <comment ref="D297" authorId="0" shapeId="0" xr:uid="{00000000-0006-0000-0000-000072000000}">
      <text>
        <r>
          <rPr>
            <sz val="9"/>
            <color rgb="FF000000"/>
            <rFont val="Arial"/>
            <family val="2"/>
          </rPr>
          <t>Informar o valor unitário estimado para aquisição de cada material</t>
        </r>
      </text>
    </comment>
    <comment ref="C298" authorId="0" shapeId="0" xr:uid="{00000000-0006-0000-0000-000073000000}">
      <text>
        <r>
          <rPr>
            <sz val="9"/>
            <color rgb="FF000000"/>
            <rFont val="Arial"/>
            <family val="2"/>
          </rPr>
          <t>Informar a quantidade estimada por mês. Por exemplo, se a durabilidade estimada é de 6 meses, informar 1/6; se a durabilidade estimada é de 3 meses informar 1/3, etc..</t>
        </r>
        <r>
          <rPr>
            <sz val="9"/>
            <color rgb="FF000000"/>
            <rFont val="Arial"/>
            <family val="2"/>
          </rPr>
          <t xml:space="preserve">
</t>
        </r>
      </text>
    </comment>
    <comment ref="D298" authorId="0" shapeId="0" xr:uid="{00000000-0006-0000-0000-000074000000}">
      <text>
        <r>
          <rPr>
            <sz val="9"/>
            <color rgb="FF000000"/>
            <rFont val="Arial"/>
            <family val="2"/>
          </rPr>
          <t>Informar o valor unitário estimado para aquisição de cada material</t>
        </r>
      </text>
    </comment>
    <comment ref="D299" authorId="0" shapeId="0" xr:uid="{00000000-0006-0000-0000-000075000000}">
      <text>
        <r>
          <rPr>
            <sz val="9"/>
            <color rgb="FF000000"/>
            <rFont val="Arial"/>
            <family val="2"/>
          </rPr>
          <t>Informar o valor unitário estimado para aquisição de cada material</t>
        </r>
      </text>
    </comment>
    <comment ref="C300" authorId="0" shapeId="0" xr:uid="{00000000-0006-0000-0000-000076000000}">
      <text>
        <r>
          <rPr>
            <sz val="9"/>
            <color rgb="FF000000"/>
            <rFont val="Arial"/>
            <family val="2"/>
          </rPr>
          <t>Informar a quantidade estimada por mês. Por exemplo, se a durabilidade estimada é de 6 meses, informar 1/6; se a durabilidade estimada é de 3 meses informar 1/3, etc..</t>
        </r>
        <r>
          <rPr>
            <sz val="9"/>
            <color rgb="FF000000"/>
            <rFont val="Arial"/>
            <family val="2"/>
          </rPr>
          <t xml:space="preserve">
</t>
        </r>
      </text>
    </comment>
    <comment ref="D300" authorId="0" shapeId="0" xr:uid="{00000000-0006-0000-0000-000077000000}">
      <text>
        <r>
          <rPr>
            <sz val="9"/>
            <color rgb="FF000000"/>
            <rFont val="Arial"/>
            <family val="2"/>
          </rPr>
          <t>Informar o valor unitário estimado para aquisição de cada material</t>
        </r>
      </text>
    </comment>
    <comment ref="A305" authorId="0" shapeId="0" xr:uid="{00000000-0006-0000-0000-000078000000}">
      <text>
        <r>
          <rPr>
            <b/>
            <sz val="9"/>
            <color rgb="FF000000"/>
            <rFont val="Arial"/>
            <family val="2"/>
          </rPr>
          <t>Especificar somente quando for exigido no Projeto Básico</t>
        </r>
        <r>
          <rPr>
            <b/>
            <sz val="9"/>
            <color rgb="FF000000"/>
            <rFont val="Arial"/>
            <family val="2"/>
          </rPr>
          <t xml:space="preserve">
</t>
        </r>
      </text>
    </comment>
    <comment ref="D308" authorId="0" shapeId="0" xr:uid="{00000000-0006-0000-0000-000079000000}">
      <text>
        <r>
          <rPr>
            <sz val="9"/>
            <color rgb="FF000000"/>
            <rFont val="Arial"/>
            <family val="2"/>
          </rPr>
          <t>Informar o valor total para instalação do equipamento de monitoramento da frota, se houver previsão no Projeto Básico</t>
        </r>
      </text>
    </comment>
    <comment ref="D310" authorId="0" shapeId="0" xr:uid="{00000000-0006-0000-0000-00007A000000}">
      <text>
        <r>
          <rPr>
            <sz val="9"/>
            <color rgb="FF000000"/>
            <rFont val="Arial"/>
            <family val="2"/>
          </rPr>
          <t>Informar o valor unitário mensal para manutenção dos equipamentos de monitoramento</t>
        </r>
      </text>
    </comment>
    <comment ref="C321" authorId="0" shapeId="0" xr:uid="{00000000-0006-0000-0000-00007B000000}">
      <text>
        <r>
          <rPr>
            <sz val="9"/>
            <color rgb="FF000000"/>
            <rFont val="Arial"/>
            <family val="2"/>
          </rPr>
          <t>Preencher a aba 4.BDI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10" authorId="0" shapeId="0" xr:uid="{00000000-0006-0000-0100-000001000000}">
      <text>
        <r>
          <rPr>
            <sz val="9"/>
            <color rgb="FF000000"/>
            <rFont val="Arial"/>
            <family val="2"/>
          </rPr>
          <t>Qualquer custo previsto no edital e não contemplado nesta planilha modelo deverá ser devidamente incluído</t>
        </r>
        <r>
          <rPr>
            <sz val="9"/>
            <color rgb="FF000000"/>
            <rFont val="Arial"/>
            <family val="2"/>
          </rPr>
          <t xml:space="preserve">
</t>
        </r>
      </text>
    </comment>
    <comment ref="B54" authorId="0" shapeId="0" xr:uid="{00000000-0006-0000-0100-000002000000}">
      <text>
        <r>
          <rPr>
            <b/>
            <sz val="9"/>
            <color rgb="FF000000"/>
            <rFont val="Arial"/>
            <family val="2"/>
          </rPr>
          <t>Informar o fator de utilização das equipes de coleta.</t>
        </r>
        <r>
          <rPr>
            <b/>
            <sz val="9"/>
            <color rgb="FF000000"/>
            <rFont val="Arial"/>
            <family val="2"/>
          </rPr>
          <t xml:space="preserve">
Por exemplo:</t>
        </r>
        <r>
          <rPr>
            <b/>
            <sz val="9"/>
            <color rgb="FF000000"/>
            <rFont val="Arial"/>
            <family val="2"/>
          </rPr>
          <t xml:space="preserve">
Equipes com utilização integral = 100%</t>
        </r>
        <r>
          <rPr>
            <b/>
            <sz val="9"/>
            <color rgb="FF000000"/>
            <rFont val="Arial"/>
            <family val="2"/>
          </rPr>
          <t xml:space="preserve">
Equipes com utilização parcial = n° horas trabalhadas por semana /44 horas</t>
        </r>
        <r>
          <rPr>
            <b/>
            <sz val="9"/>
            <color rgb="FF000000"/>
            <rFont val="Arial"/>
            <family val="2"/>
          </rPr>
          <t xml:space="preserve">
</t>
        </r>
      </text>
    </comment>
    <comment ref="D60" authorId="0" shapeId="0" xr:uid="{00000000-0006-0000-0100-000003000000}">
      <text>
        <r>
          <rPr>
            <sz val="9"/>
            <color rgb="FF000000"/>
            <rFont val="Arial"/>
            <family val="2"/>
          </rPr>
          <t>Informar o Piso da categoria fixado na Convenção Coletiva</t>
        </r>
      </text>
    </comment>
    <comment ref="A63" authorId="0" shapeId="0" xr:uid="{00000000-0006-0000-0100-000004000000}">
      <text>
        <r>
          <rPr>
            <sz val="9"/>
            <color rgb="FF000000"/>
            <rFont val="Arial"/>
            <family val="2"/>
          </rPr>
          <t>Cálculo do descanso semanal remunerado incidente sobre as horas extras habitualmente prestadas. Considerada a média de 63 feriados + domingos e 302 dias trabalhados por ano</t>
        </r>
        <r>
          <rPr>
            <sz val="9"/>
            <color rgb="FF000000"/>
            <rFont val="Arial"/>
            <family val="2"/>
          </rPr>
          <t xml:space="preserve">
</t>
        </r>
      </text>
    </comment>
    <comment ref="C66" authorId="0" shapeId="0" xr:uid="{00000000-0006-0000-0100-000005000000}">
      <text>
        <r>
          <rPr>
            <sz val="9"/>
            <color rgb="FF000000"/>
            <rFont val="Arial"/>
            <family val="2"/>
          </rPr>
          <t>Preencher a planilha Encargos Sociais e CAGED</t>
        </r>
      </text>
    </comment>
    <comment ref="C68" authorId="0" shapeId="0" xr:uid="{00000000-0006-0000-0100-000006000000}">
      <text>
        <r>
          <rPr>
            <sz val="9"/>
            <color rgb="FF000000"/>
            <rFont val="Arial"/>
            <family val="2"/>
          </rPr>
          <t>Informar a quantidade de trabalhadores na função</t>
        </r>
      </text>
    </comment>
    <comment ref="D74" authorId="0" shapeId="0" xr:uid="{00000000-0006-0000-0100-00000D000000}">
      <text>
        <r>
          <rPr>
            <sz val="9"/>
            <color rgb="FF000000"/>
            <rFont val="Arial"/>
            <family val="2"/>
          </rPr>
          <t>Informar o Piso da categoria fixado na Convenção Coletiva</t>
        </r>
      </text>
    </comment>
    <comment ref="D75" authorId="0" shapeId="0" xr:uid="{00000000-0006-0000-0100-00000E000000}">
      <text>
        <r>
          <rPr>
            <sz val="9"/>
            <color rgb="FF000000"/>
            <rFont val="Arial"/>
            <family val="2"/>
          </rPr>
          <t>Informar o valor do salário Mínimo Nacional</t>
        </r>
      </text>
    </comment>
    <comment ref="C76" authorId="0" shapeId="0" xr:uid="{00000000-0006-0000-0100-00000F000000}">
      <text>
        <r>
          <rPr>
            <sz val="9"/>
            <color rgb="FF000000"/>
            <rFont val="Arial"/>
            <family val="2"/>
          </rPr>
          <t>Informar o número de horas extras trabalhadas em horário diurno nos domingos e feriados</t>
        </r>
      </text>
    </comment>
    <comment ref="C77" authorId="0" shapeId="0" xr:uid="{00000000-0006-0000-0100-000010000000}">
      <text>
        <r>
          <rPr>
            <sz val="9"/>
            <color rgb="FF000000"/>
            <rFont val="Arial"/>
            <family val="2"/>
          </rPr>
          <t>Informar o número de horas extras trabalhadas em horário diurno de segunda a sábado</t>
        </r>
        <r>
          <rPr>
            <sz val="9"/>
            <color rgb="FF000000"/>
            <rFont val="Arial"/>
            <family val="2"/>
          </rPr>
          <t xml:space="preserve">
</t>
        </r>
      </text>
    </comment>
    <comment ref="A78" authorId="0" shapeId="0" xr:uid="{00000000-0006-0000-0100-000011000000}">
      <text>
        <r>
          <rPr>
            <sz val="9"/>
            <color rgb="FF000000"/>
            <rFont val="Arial"/>
            <family val="2"/>
          </rPr>
          <t>Cálculo do descanso semanal remunerado incidente sobre as horas extras habitualmente prestadas. Considerada a média de 63 feriados + domingos e 302 dias trabalhados por ano</t>
        </r>
        <r>
          <rPr>
            <sz val="9"/>
            <color rgb="FF000000"/>
            <rFont val="Arial"/>
            <family val="2"/>
          </rPr>
          <t xml:space="preserve">
</t>
        </r>
      </text>
    </comment>
    <comment ref="C79" authorId="0" shapeId="0" xr:uid="{00000000-0006-0000-0100-000012000000}">
      <text>
        <r>
          <rPr>
            <sz val="9"/>
            <color rgb="FF000000"/>
            <rFont val="Arial"/>
            <family val="2"/>
          </rPr>
          <t>Informar 1 se a base de cálculo for o Salário Mínimo Nacional; Informar 2 se a base de cálculo for o Piso da Categoria;</t>
        </r>
        <r>
          <rPr>
            <sz val="9"/>
            <color rgb="FF000000"/>
            <rFont val="Arial"/>
            <family val="2"/>
          </rPr>
          <t xml:space="preserve">
</t>
        </r>
      </text>
    </comment>
    <comment ref="C80" authorId="0" shapeId="0" xr:uid="{00000000-0006-0000-0100-000013000000}">
      <text>
        <r>
          <rPr>
            <sz val="9"/>
            <color rgb="FF000000"/>
            <rFont val="Arial"/>
            <family val="2"/>
          </rPr>
          <t>Percentual estabelecido nas Normas de Segurança de Trabalho ou pelo laudo de responsável técnico devidamente habilitado</t>
        </r>
      </text>
    </comment>
    <comment ref="C82" authorId="0" shapeId="0" xr:uid="{00000000-0006-0000-0100-000014000000}">
      <text>
        <r>
          <rPr>
            <sz val="9"/>
            <color rgb="FF000000"/>
            <rFont val="Arial"/>
            <family val="2"/>
          </rPr>
          <t>Preencher a planilha Encargos Sociais e CAGED</t>
        </r>
      </text>
    </comment>
    <comment ref="C84" authorId="0" shapeId="0" xr:uid="{00000000-0006-0000-0100-000015000000}">
      <text>
        <r>
          <rPr>
            <sz val="9"/>
            <color rgb="FF000000"/>
            <rFont val="Arial"/>
            <family val="2"/>
          </rPr>
          <t>Informar a quantidade de trabalhadores na função</t>
        </r>
      </text>
    </comment>
    <comment ref="C92" authorId="0" shapeId="0" xr:uid="{00000000-0006-0000-0100-00001F000000}">
      <text>
        <r>
          <rPr>
            <sz val="9"/>
            <color rgb="FF000000"/>
            <rFont val="Arial"/>
            <family val="2"/>
          </rPr>
          <t>Informar o número de horas noturnas trabalhadas no intervalo das 22:00h as 5:00h</t>
        </r>
      </text>
    </comment>
    <comment ref="C94" authorId="0" shapeId="0" xr:uid="{00000000-0006-0000-0100-000020000000}">
      <text>
        <r>
          <rPr>
            <sz val="9"/>
            <color rgb="FF000000"/>
            <rFont val="Arial"/>
            <family val="2"/>
          </rPr>
          <t>Informar o número de horas extras trabalhadas em horário noturno nos domingos e feriados</t>
        </r>
      </text>
    </comment>
    <comment ref="C95" authorId="0" shapeId="0" xr:uid="{00000000-0006-0000-0100-000022000000}">
      <text>
        <r>
          <rPr>
            <sz val="9"/>
            <color rgb="FF000000"/>
            <rFont val="Arial"/>
            <family val="2"/>
          </rPr>
          <t>Informar o número de horas extras trabalhadas em horário noturno de segunda à sábado</t>
        </r>
      </text>
    </comment>
    <comment ref="A96" authorId="0" shapeId="0" xr:uid="{00000000-0006-0000-0100-000024000000}">
      <text>
        <r>
          <rPr>
            <sz val="9"/>
            <color rgb="FF000000"/>
            <rFont val="Arial"/>
            <family val="2"/>
          </rPr>
          <t>Cálculo do descanso semanal remunerado incidente sobre as horas extras habitualmente prestadas. Considerados 63 feriados + domingos e 302 dias trabalhados por ano</t>
        </r>
        <r>
          <rPr>
            <sz val="9"/>
            <color rgb="FF000000"/>
            <rFont val="Arial"/>
            <family val="2"/>
          </rPr>
          <t xml:space="preserve">
</t>
        </r>
      </text>
    </comment>
    <comment ref="C97" authorId="0" shapeId="0" xr:uid="{00000000-0006-0000-0100-000025000000}">
      <text>
        <r>
          <rPr>
            <sz val="9"/>
            <color rgb="FF000000"/>
            <rFont val="Arial"/>
            <family val="2"/>
          </rPr>
          <t>Informar 1 se a base de cálculo for o Salário Mínimo Nacional; Informar 2 se a base de cálculo for o Piso da Categoria;</t>
        </r>
        <r>
          <rPr>
            <sz val="9"/>
            <color rgb="FF000000"/>
            <rFont val="Arial"/>
            <family val="2"/>
          </rPr>
          <t xml:space="preserve">
</t>
        </r>
      </text>
    </comment>
    <comment ref="C100" authorId="0" shapeId="0" xr:uid="{00000000-0006-0000-0100-000026000000}">
      <text>
        <r>
          <rPr>
            <sz val="9"/>
            <color rgb="FF000000"/>
            <rFont val="Arial"/>
            <family val="2"/>
          </rPr>
          <t>Preencher a planilha Encargos Sociais e CAGED</t>
        </r>
      </text>
    </comment>
    <comment ref="C102" authorId="0" shapeId="0" xr:uid="{00000000-0006-0000-0100-000027000000}">
      <text>
        <r>
          <rPr>
            <sz val="9"/>
            <color rgb="FF000000"/>
            <rFont val="Arial"/>
            <family val="2"/>
          </rPr>
          <t>Informar a quantidade de trabalhadores na função</t>
        </r>
      </text>
    </comment>
    <comment ref="D107" authorId="0" shapeId="0" xr:uid="{00000000-0006-0000-0100-000028000000}">
      <text>
        <r>
          <rPr>
            <sz val="9"/>
            <color rgb="FF000000"/>
            <rFont val="Arial"/>
            <family val="2"/>
          </rPr>
          <t>Informar o valor unitário do VT no município</t>
        </r>
      </text>
    </comment>
    <comment ref="C108" authorId="0" shapeId="0" xr:uid="{00000000-0006-0000-0100-000029000000}">
      <text>
        <r>
          <rPr>
            <sz val="9"/>
            <color rgb="FF000000"/>
            <rFont val="Arial"/>
            <family val="2"/>
          </rPr>
          <t>Informar o número médio de dias trabalhados por mês</t>
        </r>
      </text>
    </comment>
    <comment ref="D109" authorId="0" shapeId="0" xr:uid="{00000000-0006-0000-0100-00002A000000}">
      <text>
        <r>
          <rPr>
            <sz val="9"/>
            <color rgb="FF000000"/>
            <rFont val="Arial"/>
            <family val="2"/>
          </rPr>
          <t>Valor Unitário considerando o desconto legal de até 6% do salário</t>
        </r>
      </text>
    </comment>
    <comment ref="D110" authorId="0" shapeId="0" xr:uid="{00000000-0006-0000-0100-00002B000000}">
      <text>
        <r>
          <rPr>
            <sz val="9"/>
            <color rgb="FF000000"/>
            <rFont val="Arial"/>
            <family val="2"/>
          </rPr>
          <t>Valor Unitário considerando o desconto legal de até 6% do salário</t>
        </r>
        <r>
          <rPr>
            <sz val="9"/>
            <color rgb="FF000000"/>
            <rFont val="Arial"/>
            <family val="2"/>
          </rPr>
          <t xml:space="preserve">
</t>
        </r>
      </text>
    </comment>
    <comment ref="D116" authorId="0" shapeId="0" xr:uid="{00000000-0006-0000-0100-00002C000000}">
      <text>
        <r>
          <rPr>
            <sz val="9"/>
            <color rgb="FF000000"/>
            <rFont val="Arial"/>
            <family val="2"/>
          </rPr>
          <t>Informar o valor unitário diário do vale refeição, considerando o desconto aplicável ao funcionário, conforme Convenção Coletiva da categoria.</t>
        </r>
      </text>
    </comment>
    <comment ref="D117" authorId="0" shapeId="0" xr:uid="{00000000-0006-0000-0100-00002D000000}">
      <text>
        <r>
          <rPr>
            <sz val="9"/>
            <color rgb="FF000000"/>
            <rFont val="Arial"/>
            <family val="2"/>
          </rPr>
          <t>Informar o valor unitário diário do vale refeição, considerando o desconto aplicável ao funcionário, conforme Convenção Coletiva da categoria.</t>
        </r>
      </text>
    </comment>
    <comment ref="D123" authorId="0" shapeId="0" xr:uid="{00000000-0006-0000-0100-00002E000000}">
      <text>
        <r>
          <rPr>
            <sz val="9"/>
            <color rgb="FF000000"/>
            <rFont val="Arial"/>
            <family val="2"/>
          </rPr>
          <t>Informar o valor mensal do auxilio alimentação, considerando o desconto aplicável ao funcionário, conforme Convenção Coletiva da categoria</t>
        </r>
      </text>
    </comment>
    <comment ref="D124" authorId="0" shapeId="0" xr:uid="{00000000-0006-0000-0100-00002F000000}">
      <text>
        <r>
          <rPr>
            <sz val="9"/>
            <color rgb="FF000000"/>
            <rFont val="Arial"/>
            <family val="2"/>
          </rPr>
          <t>Informar o valor mensal do auxilio alimentação, considerando o desconto aplicável ao funcionário, conforme Convenção Coletiva da categoria</t>
        </r>
      </text>
    </comment>
    <comment ref="C136" authorId="0" shapeId="0" xr:uid="{00000000-0006-0000-0100-000030000000}">
      <text>
        <r>
          <rPr>
            <sz val="9"/>
            <color rgb="FF000000"/>
            <rFont val="Arial"/>
            <family val="2"/>
          </rPr>
          <t>Informar a durabilidade estimada em meses, para cada EPI</t>
        </r>
        <r>
          <rPr>
            <sz val="9"/>
            <color rgb="FF000000"/>
            <rFont val="Arial"/>
            <family val="2"/>
          </rPr>
          <t xml:space="preserve">
</t>
        </r>
      </text>
    </comment>
    <comment ref="D136" authorId="0" shapeId="0" xr:uid="{00000000-0006-0000-0100-000031000000}">
      <text>
        <r>
          <rPr>
            <sz val="9"/>
            <color rgb="FF000000"/>
            <rFont val="Arial"/>
            <family val="2"/>
          </rPr>
          <t>Informar o valor unitário estimado para aquisição de cada EPI</t>
        </r>
      </text>
    </comment>
    <comment ref="C138" authorId="0" shapeId="0" xr:uid="{00000000-0006-0000-0100-000032000000}">
      <text>
        <r>
          <rPr>
            <sz val="9"/>
            <color rgb="FF000000"/>
            <rFont val="Arial"/>
            <family val="2"/>
          </rPr>
          <t>Informar a durabilidade estimada em meses, para cada EPI</t>
        </r>
        <r>
          <rPr>
            <sz val="9"/>
            <color rgb="FF000000"/>
            <rFont val="Arial"/>
            <family val="2"/>
          </rPr>
          <t xml:space="preserve">
</t>
        </r>
      </text>
    </comment>
    <comment ref="D138" authorId="0" shapeId="0" xr:uid="{00000000-0006-0000-0100-000033000000}">
      <text>
        <r>
          <rPr>
            <sz val="9"/>
            <color rgb="FF000000"/>
            <rFont val="Arial"/>
            <family val="2"/>
          </rPr>
          <t>Informar o valor unitário estimado para aquisição de cada EPI</t>
        </r>
      </text>
    </comment>
    <comment ref="C139" authorId="0" shapeId="0" xr:uid="{00000000-0006-0000-0100-000034000000}">
      <text>
        <r>
          <rPr>
            <sz val="9"/>
            <color rgb="FF000000"/>
            <rFont val="Arial"/>
            <family val="2"/>
          </rPr>
          <t>Informar a durabilidade estimada em meses, para cada EPI</t>
        </r>
        <r>
          <rPr>
            <sz val="9"/>
            <color rgb="FF000000"/>
            <rFont val="Arial"/>
            <family val="2"/>
          </rPr>
          <t xml:space="preserve">
</t>
        </r>
      </text>
    </comment>
    <comment ref="D139" authorId="0" shapeId="0" xr:uid="{00000000-0006-0000-0100-000035000000}">
      <text>
        <r>
          <rPr>
            <sz val="9"/>
            <color rgb="FF000000"/>
            <rFont val="Arial"/>
            <family val="2"/>
          </rPr>
          <t>Informar o valor unitário estimado para aquisição de cada EPI</t>
        </r>
      </text>
    </comment>
    <comment ref="C140" authorId="0" shapeId="0" xr:uid="{00000000-0006-0000-0100-000036000000}">
      <text>
        <r>
          <rPr>
            <sz val="9"/>
            <color rgb="FF000000"/>
            <rFont val="Arial"/>
            <family val="2"/>
          </rPr>
          <t>Informar a durabilidade estimada em meses, para cada EPI</t>
        </r>
        <r>
          <rPr>
            <sz val="9"/>
            <color rgb="FF000000"/>
            <rFont val="Arial"/>
            <family val="2"/>
          </rPr>
          <t xml:space="preserve">
</t>
        </r>
      </text>
    </comment>
    <comment ref="D140" authorId="0" shapeId="0" xr:uid="{00000000-0006-0000-0100-000037000000}">
      <text>
        <r>
          <rPr>
            <sz val="9"/>
            <color rgb="FF000000"/>
            <rFont val="Arial"/>
            <family val="2"/>
          </rPr>
          <t>Informar o valor unitário estimado para aquisição de cada EPI</t>
        </r>
      </text>
    </comment>
    <comment ref="C141" authorId="0" shapeId="0" xr:uid="{00000000-0006-0000-0100-000038000000}">
      <text>
        <r>
          <rPr>
            <sz val="9"/>
            <color rgb="FF000000"/>
            <rFont val="Arial"/>
            <family val="2"/>
          </rPr>
          <t>Informar a durabilidade estimada em meses, para cada EPI</t>
        </r>
        <r>
          <rPr>
            <sz val="9"/>
            <color rgb="FF000000"/>
            <rFont val="Arial"/>
            <family val="2"/>
          </rPr>
          <t xml:space="preserve">
</t>
        </r>
      </text>
    </comment>
    <comment ref="D141" authorId="0" shapeId="0" xr:uid="{00000000-0006-0000-0100-000039000000}">
      <text>
        <r>
          <rPr>
            <sz val="9"/>
            <color rgb="FF000000"/>
            <rFont val="Arial"/>
            <family val="2"/>
          </rPr>
          <t>Informar o valor unitário estimado para aquisição de cada EPI</t>
        </r>
      </text>
    </comment>
    <comment ref="C142" authorId="0" shapeId="0" xr:uid="{00000000-0006-0000-0100-00003A000000}">
      <text>
        <r>
          <rPr>
            <sz val="9"/>
            <color rgb="FF000000"/>
            <rFont val="Arial"/>
            <family val="2"/>
          </rPr>
          <t>Informar a durabilidade estimada em meses, para cada EPI</t>
        </r>
        <r>
          <rPr>
            <sz val="9"/>
            <color rgb="FF000000"/>
            <rFont val="Arial"/>
            <family val="2"/>
          </rPr>
          <t xml:space="preserve">
</t>
        </r>
      </text>
    </comment>
    <comment ref="D142" authorId="0" shapeId="0" xr:uid="{00000000-0006-0000-0100-00003B000000}">
      <text>
        <r>
          <rPr>
            <sz val="9"/>
            <color rgb="FF000000"/>
            <rFont val="Arial"/>
            <family val="2"/>
          </rPr>
          <t>Informar o valor unitário estimado para aquisição de cada EPI</t>
        </r>
      </text>
    </comment>
    <comment ref="C143" authorId="0" shapeId="0" xr:uid="{00000000-0006-0000-0100-00003C000000}">
      <text>
        <r>
          <rPr>
            <sz val="9"/>
            <color rgb="FF000000"/>
            <rFont val="Arial"/>
            <family val="2"/>
          </rPr>
          <t>Informar a durabilidade estimada em meses, para cada EPI</t>
        </r>
        <r>
          <rPr>
            <sz val="9"/>
            <color rgb="FF000000"/>
            <rFont val="Arial"/>
            <family val="2"/>
          </rPr>
          <t xml:space="preserve">
</t>
        </r>
      </text>
    </comment>
    <comment ref="D143" authorId="0" shapeId="0" xr:uid="{00000000-0006-0000-0100-00003D000000}">
      <text>
        <r>
          <rPr>
            <sz val="9"/>
            <color rgb="FF000000"/>
            <rFont val="Arial"/>
            <family val="2"/>
          </rPr>
          <t>Informar o valor unitário estimado para aquisição de cada EPI</t>
        </r>
      </text>
    </comment>
    <comment ref="C144" authorId="0" shapeId="0" xr:uid="{00000000-0006-0000-0100-00003E000000}">
      <text>
        <r>
          <rPr>
            <sz val="9"/>
            <color rgb="FF000000"/>
            <rFont val="Arial"/>
            <family val="2"/>
          </rPr>
          <t>Informar a durabilidade estimada em meses, para cada EPI</t>
        </r>
        <r>
          <rPr>
            <sz val="9"/>
            <color rgb="FF000000"/>
            <rFont val="Arial"/>
            <family val="2"/>
          </rPr>
          <t xml:space="preserve">
</t>
        </r>
      </text>
    </comment>
    <comment ref="D144" authorId="0" shapeId="0" xr:uid="{00000000-0006-0000-0100-00003F000000}">
      <text>
        <r>
          <rPr>
            <sz val="9"/>
            <color rgb="FF000000"/>
            <rFont val="Arial"/>
            <family val="2"/>
          </rPr>
          <t>Informar o valor unitário estimado para aquisição de cada EPI</t>
        </r>
      </text>
    </comment>
    <comment ref="C145" authorId="0" shapeId="0" xr:uid="{00000000-0006-0000-0100-000040000000}">
      <text>
        <r>
          <rPr>
            <sz val="9"/>
            <color rgb="FF000000"/>
            <rFont val="Arial"/>
            <family val="2"/>
          </rPr>
          <t>Informar a durabilidade estimada em meses, para cada EPI</t>
        </r>
        <r>
          <rPr>
            <sz val="9"/>
            <color rgb="FF000000"/>
            <rFont val="Arial"/>
            <family val="2"/>
          </rPr>
          <t xml:space="preserve">
</t>
        </r>
      </text>
    </comment>
    <comment ref="D145" authorId="0" shapeId="0" xr:uid="{00000000-0006-0000-0100-000041000000}">
      <text>
        <r>
          <rPr>
            <sz val="9"/>
            <color rgb="FF000000"/>
            <rFont val="Arial"/>
            <family val="2"/>
          </rPr>
          <t>Informar o valor unitário estimado para aquisição de cada EPI</t>
        </r>
      </text>
    </comment>
    <comment ref="D146" authorId="0" shapeId="0" xr:uid="{00000000-0006-0000-0100-000042000000}">
      <text>
        <r>
          <rPr>
            <sz val="9"/>
            <color rgb="FF000000"/>
            <rFont val="Arial"/>
            <family val="2"/>
          </rPr>
          <t>Informar o valor mensal de higienização de uniforme para 1 funcionário</t>
        </r>
      </text>
    </comment>
    <comment ref="C153" authorId="0" shapeId="0" xr:uid="{00000000-0006-0000-0100-000043000000}">
      <text>
        <r>
          <rPr>
            <sz val="9"/>
            <color rgb="FF000000"/>
            <rFont val="Arial"/>
            <family val="2"/>
          </rPr>
          <t>Informar a durabilidade estimada em meses, para cada EPI</t>
        </r>
        <r>
          <rPr>
            <sz val="9"/>
            <color rgb="FF000000"/>
            <rFont val="Arial"/>
            <family val="2"/>
          </rPr>
          <t xml:space="preserve">
</t>
        </r>
      </text>
    </comment>
    <comment ref="C155" authorId="0" shapeId="0" xr:uid="{00000000-0006-0000-0100-000044000000}">
      <text>
        <r>
          <rPr>
            <sz val="9"/>
            <color rgb="FF000000"/>
            <rFont val="Arial"/>
            <family val="2"/>
          </rPr>
          <t>Informar a durabilidade estimada em meses, para cada EPI</t>
        </r>
        <r>
          <rPr>
            <sz val="9"/>
            <color rgb="FF000000"/>
            <rFont val="Arial"/>
            <family val="2"/>
          </rPr>
          <t xml:space="preserve">
</t>
        </r>
      </text>
    </comment>
    <comment ref="C156" authorId="0" shapeId="0" xr:uid="{00000000-0006-0000-0100-000045000000}">
      <text>
        <r>
          <rPr>
            <sz val="9"/>
            <color rgb="FF000000"/>
            <rFont val="Arial"/>
            <family val="2"/>
          </rPr>
          <t>Informar a durabilidade estimada em meses, para cada EPI</t>
        </r>
        <r>
          <rPr>
            <sz val="9"/>
            <color rgb="FF000000"/>
            <rFont val="Arial"/>
            <family val="2"/>
          </rPr>
          <t xml:space="preserve">
</t>
        </r>
      </text>
    </comment>
    <comment ref="C157" authorId="0" shapeId="0" xr:uid="{00000000-0006-0000-0100-000046000000}">
      <text>
        <r>
          <rPr>
            <sz val="9"/>
            <color rgb="FF000000"/>
            <rFont val="Arial"/>
            <family val="2"/>
          </rPr>
          <t>Informar a durabilidade estimada em meses, para cada EPI</t>
        </r>
        <r>
          <rPr>
            <sz val="9"/>
            <color rgb="FF000000"/>
            <rFont val="Arial"/>
            <family val="2"/>
          </rPr>
          <t xml:space="preserve">
</t>
        </r>
      </text>
    </comment>
    <comment ref="C158" authorId="0" shapeId="0" xr:uid="{00000000-0006-0000-0100-000047000000}">
      <text>
        <r>
          <rPr>
            <sz val="9"/>
            <color rgb="FF000000"/>
            <rFont val="Arial"/>
            <family val="2"/>
          </rPr>
          <t>Informar a durabilidade estimada em meses, para cada EPI</t>
        </r>
        <r>
          <rPr>
            <sz val="9"/>
            <color rgb="FF000000"/>
            <rFont val="Arial"/>
            <family val="2"/>
          </rPr>
          <t xml:space="preserve">
</t>
        </r>
      </text>
    </comment>
    <comment ref="D171" authorId="0" shapeId="0" xr:uid="{00000000-0006-0000-0100-000048000000}">
      <text>
        <r>
          <rPr>
            <sz val="9"/>
            <color rgb="FF000000"/>
            <rFont val="Arial"/>
            <family val="2"/>
          </rPr>
          <t>Informar o preço unitário do chassis do caminhão de coleta</t>
        </r>
      </text>
    </comment>
    <comment ref="C172" authorId="0" shapeId="0" xr:uid="{00000000-0006-0000-0100-000049000000}">
      <text>
        <r>
          <rPr>
            <sz val="9"/>
            <color rgb="FF000000"/>
            <rFont val="Arial"/>
            <family val="2"/>
          </rPr>
          <t>Informar a vida útil estimada para o caminhão, em anos</t>
        </r>
      </text>
    </comment>
    <comment ref="C173" authorId="0" shapeId="0" xr:uid="{00000000-0006-0000-0100-00004A000000}">
      <text>
        <r>
          <rPr>
            <sz val="9"/>
            <color rgb="FF000000"/>
            <rFont val="Arial"/>
            <family val="2"/>
          </rPr>
          <t>Na elaboração do orçamento-base da licitação, informar 0 (zero). Na proposta da licitante, informar a idade do veículo proposto.</t>
        </r>
      </text>
    </comment>
    <comment ref="C174" authorId="0" shapeId="0" xr:uid="{00000000-0006-0000-0100-00004B000000}">
      <text>
        <r>
          <rPr>
            <b/>
            <sz val="9"/>
            <color rgb="FF000000"/>
            <rFont val="Arial"/>
            <family val="2"/>
          </rPr>
          <t>Informar o valor da depreciação do caminhão, adotando o valor sugerido pelo TCE ou outro valor estimado</t>
        </r>
        <r>
          <rPr>
            <b/>
            <sz val="9"/>
            <color rgb="FF000000"/>
            <rFont val="Arial"/>
            <family val="2"/>
          </rPr>
          <t xml:space="preserve">
</t>
        </r>
      </text>
    </comment>
    <comment ref="D176" authorId="0" shapeId="0" xr:uid="{00000000-0006-0000-0100-00004C000000}">
      <text>
        <r>
          <rPr>
            <sz val="9"/>
            <color rgb="FF000000"/>
            <rFont val="Arial"/>
            <family val="2"/>
          </rPr>
          <t>Informar o preço unitário do equipamento compactador</t>
        </r>
        <r>
          <rPr>
            <sz val="9"/>
            <color rgb="FF000000"/>
            <rFont val="Arial"/>
            <family val="2"/>
          </rPr>
          <t xml:space="preserve">
</t>
        </r>
      </text>
    </comment>
    <comment ref="C177" authorId="0" shapeId="0" xr:uid="{00000000-0006-0000-0100-00004D000000}">
      <text>
        <r>
          <rPr>
            <sz val="9"/>
            <color rgb="FF000000"/>
            <rFont val="Arial"/>
            <family val="2"/>
          </rPr>
          <t>Informar a vida útil estimada para o compactador, em anos</t>
        </r>
      </text>
    </comment>
    <comment ref="C178" authorId="0" shapeId="0" xr:uid="{00000000-0006-0000-0100-00004E000000}">
      <text>
        <r>
          <rPr>
            <sz val="9"/>
            <color rgb="FF000000"/>
            <rFont val="Arial"/>
            <family val="2"/>
          </rPr>
          <t>Na elaboração do orçamento-base da licitação, informar 0 (zero). Na proposta da licitante, informar a idade do compactador proposto.</t>
        </r>
      </text>
    </comment>
    <comment ref="C179" authorId="0" shapeId="0" xr:uid="{00000000-0006-0000-0100-00004F000000}">
      <text>
        <r>
          <rPr>
            <b/>
            <sz val="9"/>
            <color rgb="FF000000"/>
            <rFont val="Arial"/>
            <family val="2"/>
          </rPr>
          <t>Informar o valor da depreciação do compactador, adotando o valor sugerido pelo TCE ou outro valor estimado</t>
        </r>
        <r>
          <rPr>
            <b/>
            <sz val="9"/>
            <color rgb="FF000000"/>
            <rFont val="Arial"/>
            <family val="2"/>
          </rPr>
          <t xml:space="preserve">
</t>
        </r>
      </text>
    </comment>
    <comment ref="C182" authorId="0" shapeId="0" xr:uid="{00000000-0006-0000-0100-000050000000}">
      <text>
        <r>
          <rPr>
            <sz val="9"/>
            <color rgb="FF000000"/>
            <rFont val="Arial"/>
            <family val="2"/>
          </rPr>
          <t>Informar a quantidade de caminhões compactadores do respectivo modelo</t>
        </r>
      </text>
    </comment>
    <comment ref="C188" authorId="0" shapeId="0" xr:uid="{00000000-0006-0000-0100-000051000000}">
      <text>
        <r>
          <rPr>
            <b/>
            <sz val="9"/>
            <color rgb="FF000000"/>
            <rFont val="Arial"/>
            <family val="2"/>
          </rPr>
          <t>Informar a taxa de juros anual para remuneração do capital. Recomenda-se o uso da Taxa SELIC</t>
        </r>
        <r>
          <rPr>
            <b/>
            <sz val="9"/>
            <color rgb="FF000000"/>
            <rFont val="Arial"/>
            <family val="2"/>
          </rPr>
          <t xml:space="preserve">
</t>
        </r>
      </text>
    </comment>
    <comment ref="D206" authorId="0" shapeId="0" xr:uid="{00000000-0006-0000-0100-000052000000}">
      <text>
        <r>
          <rPr>
            <sz val="9"/>
            <color rgb="FF000000"/>
            <rFont val="Arial"/>
            <family val="2"/>
          </rPr>
          <t>Informar o valor do seguro obrigatório e licenciamento anual de um caminhão</t>
        </r>
        <r>
          <rPr>
            <sz val="9"/>
            <color rgb="FF000000"/>
            <rFont val="Arial"/>
            <family val="2"/>
          </rPr>
          <t xml:space="preserve">
</t>
        </r>
      </text>
    </comment>
    <comment ref="D207" authorId="0" shapeId="0" xr:uid="{00000000-0006-0000-0100-000053000000}">
      <text>
        <r>
          <rPr>
            <sz val="9"/>
            <color rgb="FF000000"/>
            <rFont val="Arial"/>
            <family val="2"/>
          </rPr>
          <t>Informar o valor do seguro contra terceiros de um caminhão, se houver previsão no Projeto Básico</t>
        </r>
        <r>
          <rPr>
            <sz val="9"/>
            <color rgb="FF000000"/>
            <rFont val="Arial"/>
            <family val="2"/>
          </rPr>
          <t xml:space="preserve">
</t>
        </r>
      </text>
    </comment>
    <comment ref="B213" authorId="0" shapeId="0" xr:uid="{00000000-0006-0000-0100-000054000000}">
      <text>
        <r>
          <rPr>
            <sz val="9"/>
            <color rgb="FF000000"/>
            <rFont val="Arial"/>
            <family val="2"/>
          </rPr>
          <t>Informar a quilometragem mensal percorrida, de acordo com o projeto básico</t>
        </r>
        <r>
          <rPr>
            <sz val="9"/>
            <color rgb="FF000000"/>
            <rFont val="Arial"/>
            <family val="2"/>
          </rPr>
          <t xml:space="preserve">
</t>
        </r>
      </text>
    </comment>
    <comment ref="C216" authorId="0" shapeId="0" xr:uid="{00000000-0006-0000-0100-000055000000}">
      <text>
        <r>
          <rPr>
            <sz val="9"/>
            <color rgb="FF000000"/>
            <rFont val="Arial"/>
            <family val="2"/>
          </rPr>
          <t>Informar o consumo estimado do veículo em km/l</t>
        </r>
      </text>
    </comment>
    <comment ref="D216" authorId="0" shapeId="0" xr:uid="{00000000-0006-0000-0100-000056000000}">
      <text>
        <r>
          <rPr>
            <sz val="9"/>
            <color rgb="FF000000"/>
            <rFont val="Arial"/>
            <family val="2"/>
          </rPr>
          <t>Informar o preço unitário do combustivel</t>
        </r>
        <r>
          <rPr>
            <sz val="9"/>
            <color rgb="FF000000"/>
            <rFont val="Arial"/>
            <family val="2"/>
          </rPr>
          <t xml:space="preserve">
</t>
        </r>
      </text>
    </comment>
    <comment ref="C218" authorId="0" shapeId="0" xr:uid="{00000000-0006-0000-0100-000057000000}">
      <text>
        <r>
          <rPr>
            <sz val="9"/>
            <color rgb="FF000000"/>
            <rFont val="Arial"/>
            <family val="2"/>
          </rPr>
          <t>Informar o consumo de óleo do motor a cada 1000km</t>
        </r>
      </text>
    </comment>
    <comment ref="C220" authorId="0" shapeId="0" xr:uid="{00000000-0006-0000-0100-000058000000}">
      <text>
        <r>
          <rPr>
            <sz val="9"/>
            <color rgb="FF000000"/>
            <rFont val="Arial"/>
            <family val="2"/>
          </rPr>
          <t>Informar o consumo de óleo da transmissão a cada 1000km</t>
        </r>
      </text>
    </comment>
    <comment ref="D220" authorId="0" shapeId="0" xr:uid="{00000000-0006-0000-0100-000059000000}">
      <text>
        <r>
          <rPr>
            <sz val="9"/>
            <color rgb="FF000000"/>
            <rFont val="Arial"/>
            <family val="2"/>
          </rPr>
          <t>Informar o preço unitário do litro do óleo da transmissão</t>
        </r>
        <r>
          <rPr>
            <sz val="9"/>
            <color rgb="FF000000"/>
            <rFont val="Arial"/>
            <family val="2"/>
          </rPr>
          <t xml:space="preserve">
</t>
        </r>
      </text>
    </comment>
    <comment ref="C222" authorId="0" shapeId="0" xr:uid="{00000000-0006-0000-0100-00005A000000}">
      <text>
        <r>
          <rPr>
            <sz val="9"/>
            <color rgb="FF000000"/>
            <rFont val="Arial"/>
            <family val="2"/>
          </rPr>
          <t>Informar o consumo de óleo hidráulico a cada 1000km</t>
        </r>
      </text>
    </comment>
    <comment ref="D222" authorId="0" shapeId="0" xr:uid="{00000000-0006-0000-0100-00005B000000}">
      <text>
        <r>
          <rPr>
            <sz val="9"/>
            <color rgb="FF000000"/>
            <rFont val="Arial"/>
            <family val="2"/>
          </rPr>
          <t>Informar o preço unitário do litro do óleo hidráulico</t>
        </r>
        <r>
          <rPr>
            <sz val="9"/>
            <color rgb="FF000000"/>
            <rFont val="Arial"/>
            <family val="2"/>
          </rPr>
          <t xml:space="preserve">
</t>
        </r>
      </text>
    </comment>
    <comment ref="C224" authorId="0" shapeId="0" xr:uid="{00000000-0006-0000-0100-00005C000000}">
      <text>
        <r>
          <rPr>
            <sz val="9"/>
            <color rgb="FF000000"/>
            <rFont val="Arial"/>
            <family val="2"/>
          </rPr>
          <t>Informar o consumo de graxa a cada 1000km</t>
        </r>
      </text>
    </comment>
    <comment ref="D224" authorId="0" shapeId="0" xr:uid="{00000000-0006-0000-0100-00005D000000}">
      <text>
        <r>
          <rPr>
            <sz val="9"/>
            <color rgb="FF000000"/>
            <rFont val="Arial"/>
            <family val="2"/>
          </rPr>
          <t>Informar o preço unitário do litro da graxa</t>
        </r>
        <r>
          <rPr>
            <sz val="9"/>
            <color rgb="FF000000"/>
            <rFont val="Arial"/>
            <family val="2"/>
          </rPr>
          <t xml:space="preserve">
</t>
        </r>
      </text>
    </comment>
    <comment ref="C236" authorId="0" shapeId="0" xr:uid="{00000000-0006-0000-0100-00005E000000}">
      <text>
        <r>
          <rPr>
            <sz val="9"/>
            <color rgb="FF000000"/>
            <rFont val="Arial"/>
            <family val="2"/>
          </rPr>
          <t>Informar a quantidade de pneus novos de 1 caminhão</t>
        </r>
      </text>
    </comment>
    <comment ref="C237" authorId="0" shapeId="0" xr:uid="{00000000-0006-0000-0100-00005F000000}">
      <text>
        <r>
          <rPr>
            <sz val="9"/>
            <color rgb="FF000000"/>
            <rFont val="Arial"/>
            <family val="2"/>
          </rPr>
          <t>Informar o número de recapagens por pneu</t>
        </r>
      </text>
    </comment>
    <comment ref="C239" authorId="0" shapeId="0" xr:uid="{00000000-0006-0000-0100-000060000000}">
      <text>
        <r>
          <rPr>
            <sz val="9"/>
            <color rgb="FF000000"/>
            <rFont val="Arial"/>
            <family val="2"/>
          </rPr>
          <t>Informar a durabilidade média dos pneus considerando todas as recapagens, em km</t>
        </r>
        <r>
          <rPr>
            <sz val="9"/>
            <color rgb="FF000000"/>
            <rFont val="Arial"/>
            <family val="2"/>
          </rPr>
          <t xml:space="preserve">
</t>
        </r>
      </text>
    </comment>
    <comment ref="D247" authorId="0" shapeId="0" xr:uid="{00000000-0006-0000-0100-000061000000}">
      <text>
        <r>
          <rPr>
            <sz val="9"/>
            <color rgb="FF000000"/>
            <rFont val="Arial"/>
            <family val="2"/>
          </rPr>
          <t>Informar o preço unitário do chassis do caminhão de coleta</t>
        </r>
      </text>
    </comment>
    <comment ref="C248" authorId="0" shapeId="0" xr:uid="{00000000-0006-0000-0100-000062000000}">
      <text>
        <r>
          <rPr>
            <sz val="9"/>
            <color rgb="FF000000"/>
            <rFont val="Arial"/>
            <family val="2"/>
          </rPr>
          <t>Informar a vida útil estimada para o caminhão, em anos</t>
        </r>
      </text>
    </comment>
    <comment ref="C249" authorId="0" shapeId="0" xr:uid="{00000000-0006-0000-0100-000063000000}">
      <text>
        <r>
          <rPr>
            <sz val="9"/>
            <color rgb="FF000000"/>
            <rFont val="Arial"/>
            <family val="2"/>
          </rPr>
          <t>Na elaboração do orçamento-base da licitação, informar 0 (zero). Na proposta da licitante, informar a idade do veículo proposto.</t>
        </r>
      </text>
    </comment>
    <comment ref="C250" authorId="0" shapeId="0" xr:uid="{00000000-0006-0000-0100-000064000000}">
      <text>
        <r>
          <rPr>
            <b/>
            <sz val="9"/>
            <color rgb="FF000000"/>
            <rFont val="Arial"/>
            <family val="2"/>
          </rPr>
          <t>Informar o valor da depreciação do caminhão, adotando o valor sugerido pelo TCE ou outro valor estimado</t>
        </r>
        <r>
          <rPr>
            <b/>
            <sz val="9"/>
            <color rgb="FF000000"/>
            <rFont val="Arial"/>
            <family val="2"/>
          </rPr>
          <t xml:space="preserve">
</t>
        </r>
      </text>
    </comment>
    <comment ref="C253" authorId="0" shapeId="0" xr:uid="{00000000-0006-0000-0100-000065000000}">
      <text>
        <r>
          <rPr>
            <sz val="9"/>
            <color rgb="FF000000"/>
            <rFont val="Arial"/>
            <family val="2"/>
          </rPr>
          <t>Informar a quantidade de caminhões compactadores do respectivo modelo</t>
        </r>
      </text>
    </comment>
    <comment ref="C259" authorId="0" shapeId="0" xr:uid="{00000000-0006-0000-0100-000066000000}">
      <text>
        <r>
          <rPr>
            <b/>
            <sz val="9"/>
            <color rgb="FF000000"/>
            <rFont val="Arial"/>
            <family val="2"/>
          </rPr>
          <t>Informar a taxa de juros anual para remuneração do capital. Recomenda-se o uso da Taxa SELIC</t>
        </r>
        <r>
          <rPr>
            <b/>
            <sz val="9"/>
            <color rgb="FF000000"/>
            <rFont val="Arial"/>
            <family val="2"/>
          </rPr>
          <t xml:space="preserve">
</t>
        </r>
      </text>
    </comment>
    <comment ref="D270" authorId="0" shapeId="0" xr:uid="{00000000-0006-0000-0100-000067000000}">
      <text>
        <r>
          <rPr>
            <sz val="9"/>
            <color rgb="FF000000"/>
            <rFont val="Arial"/>
            <family val="2"/>
          </rPr>
          <t>Informar o valor do seguro obrigatório e licenciamento anual de um caminhão</t>
        </r>
        <r>
          <rPr>
            <sz val="9"/>
            <color rgb="FF000000"/>
            <rFont val="Arial"/>
            <family val="2"/>
          </rPr>
          <t xml:space="preserve">
</t>
        </r>
      </text>
    </comment>
    <comment ref="D271" authorId="0" shapeId="0" xr:uid="{00000000-0006-0000-0100-000068000000}">
      <text>
        <r>
          <rPr>
            <sz val="9"/>
            <color rgb="FF000000"/>
            <rFont val="Arial"/>
            <family val="2"/>
          </rPr>
          <t>Informar o valor do seguro contra terceiros de um caminhão, se houver previsão no Projeto Básico</t>
        </r>
        <r>
          <rPr>
            <sz val="9"/>
            <color rgb="FF000000"/>
            <rFont val="Arial"/>
            <family val="2"/>
          </rPr>
          <t xml:space="preserve">
</t>
        </r>
      </text>
    </comment>
    <comment ref="B276" authorId="0" shapeId="0" xr:uid="{00000000-0006-0000-0100-000069000000}">
      <text>
        <r>
          <rPr>
            <sz val="9"/>
            <color rgb="FF000000"/>
            <rFont val="Arial"/>
            <family val="2"/>
          </rPr>
          <t>Informar a quilometragem mensal percorrida, de acordo com o projeto básico</t>
        </r>
        <r>
          <rPr>
            <sz val="9"/>
            <color rgb="FF000000"/>
            <rFont val="Arial"/>
            <family val="2"/>
          </rPr>
          <t xml:space="preserve">
</t>
        </r>
      </text>
    </comment>
    <comment ref="C279" authorId="0" shapeId="0" xr:uid="{00000000-0006-0000-0100-00006A000000}">
      <text>
        <r>
          <rPr>
            <sz val="9"/>
            <color rgb="FF000000"/>
            <rFont val="Arial"/>
            <family val="2"/>
          </rPr>
          <t>Informar o consumo estimado do veículo em km/l</t>
        </r>
      </text>
    </comment>
    <comment ref="D279" authorId="0" shapeId="0" xr:uid="{00000000-0006-0000-0100-00006B000000}">
      <text>
        <r>
          <rPr>
            <sz val="9"/>
            <color rgb="FF000000"/>
            <rFont val="Arial"/>
            <family val="2"/>
          </rPr>
          <t>Informar o preço unitário do combustivel</t>
        </r>
        <r>
          <rPr>
            <sz val="9"/>
            <color rgb="FF000000"/>
            <rFont val="Arial"/>
            <family val="2"/>
          </rPr>
          <t xml:space="preserve">
</t>
        </r>
      </text>
    </comment>
    <comment ref="C281" authorId="0" shapeId="0" xr:uid="{00000000-0006-0000-0100-00006C000000}">
      <text>
        <r>
          <rPr>
            <sz val="9"/>
            <color rgb="FF000000"/>
            <rFont val="Arial"/>
            <family val="2"/>
          </rPr>
          <t>Informar o consumo de óleo do motor a cada 1000km</t>
        </r>
      </text>
    </comment>
    <comment ref="C293" authorId="0" shapeId="0" xr:uid="{00000000-0006-0000-0100-00006D000000}">
      <text>
        <r>
          <rPr>
            <sz val="9"/>
            <color rgb="FF000000"/>
            <rFont val="Arial"/>
            <family val="2"/>
          </rPr>
          <t>Informar a quantidade de pneus novos de 1 caminhão</t>
        </r>
      </text>
    </comment>
    <comment ref="C294" authorId="0" shapeId="0" xr:uid="{00000000-0006-0000-0100-00006E000000}">
      <text>
        <r>
          <rPr>
            <sz val="9"/>
            <color rgb="FF000000"/>
            <rFont val="Arial"/>
            <family val="2"/>
          </rPr>
          <t>Informar a durabilidade média dos pneus considerando todas as recapagens, em km</t>
        </r>
        <r>
          <rPr>
            <sz val="9"/>
            <color rgb="FF000000"/>
            <rFont val="Arial"/>
            <family val="2"/>
          </rPr>
          <t xml:space="preserve">
</t>
        </r>
      </text>
    </comment>
    <comment ref="C304" authorId="0" shapeId="0" xr:uid="{00000000-0006-0000-0100-00006F000000}">
      <text>
        <r>
          <rPr>
            <sz val="9"/>
            <color rgb="FF000000"/>
            <rFont val="Arial"/>
            <family val="2"/>
          </rPr>
          <t>Informar a quantidade estimada por mês. Por exemplo, se a durabilidade estimada é de 6 meses, informar 1/6; se a durabilidade estimada é de 3 meses informar 1/3, etc..</t>
        </r>
        <r>
          <rPr>
            <sz val="9"/>
            <color rgb="FF000000"/>
            <rFont val="Arial"/>
            <family val="2"/>
          </rPr>
          <t xml:space="preserve">
</t>
        </r>
      </text>
    </comment>
    <comment ref="D304" authorId="0" shapeId="0" xr:uid="{00000000-0006-0000-0100-000070000000}">
      <text>
        <r>
          <rPr>
            <sz val="9"/>
            <color rgb="FF000000"/>
            <rFont val="Arial"/>
            <family val="2"/>
          </rPr>
          <t>Informar o valor unitário estimado para aquisição de cada material</t>
        </r>
      </text>
    </comment>
    <comment ref="C305" authorId="0" shapeId="0" xr:uid="{00000000-0006-0000-0100-000071000000}">
      <text>
        <r>
          <rPr>
            <sz val="9"/>
            <color rgb="FF000000"/>
            <rFont val="Arial"/>
            <family val="2"/>
          </rPr>
          <t>Informar a quantidade estimada por mês. Por exemplo, se a durabilidade estimada é de 6 meses, informar 1/6; se a durabilidade estimada é de 3 meses informar 1/3, etc..</t>
        </r>
        <r>
          <rPr>
            <sz val="9"/>
            <color rgb="FF000000"/>
            <rFont val="Arial"/>
            <family val="2"/>
          </rPr>
          <t xml:space="preserve">
</t>
        </r>
      </text>
    </comment>
    <comment ref="D305" authorId="0" shapeId="0" xr:uid="{00000000-0006-0000-0100-000072000000}">
      <text>
        <r>
          <rPr>
            <sz val="9"/>
            <color rgb="FF000000"/>
            <rFont val="Arial"/>
            <family val="2"/>
          </rPr>
          <t>Informar o valor unitário estimado para aquisição de cada material</t>
        </r>
      </text>
    </comment>
    <comment ref="C306" authorId="0" shapeId="0" xr:uid="{00000000-0006-0000-0100-000073000000}">
      <text>
        <r>
          <rPr>
            <sz val="9"/>
            <color rgb="FF000000"/>
            <rFont val="Arial"/>
            <family val="2"/>
          </rPr>
          <t>Informar a quantidade estimada por mês. Por exemplo, se a durabilidade estimada é de 6 meses, informar 1/6; se a durabilidade estimada é de 3 meses informar 1/3, etc..</t>
        </r>
        <r>
          <rPr>
            <sz val="9"/>
            <color rgb="FF000000"/>
            <rFont val="Arial"/>
            <family val="2"/>
          </rPr>
          <t xml:space="preserve">
</t>
        </r>
      </text>
    </comment>
    <comment ref="D306" authorId="0" shapeId="0" xr:uid="{00000000-0006-0000-0100-000074000000}">
      <text>
        <r>
          <rPr>
            <sz val="9"/>
            <color rgb="FF000000"/>
            <rFont val="Arial"/>
            <family val="2"/>
          </rPr>
          <t>Informar o valor unitário estimado para aquisição de cada material</t>
        </r>
      </text>
    </comment>
    <comment ref="D307" authorId="0" shapeId="0" xr:uid="{00000000-0006-0000-0100-000075000000}">
      <text>
        <r>
          <rPr>
            <sz val="9"/>
            <color rgb="FF000000"/>
            <rFont val="Arial"/>
            <family val="2"/>
          </rPr>
          <t>Informar o valor unitário estimado para aquisição de cada material</t>
        </r>
      </text>
    </comment>
    <comment ref="C308" authorId="0" shapeId="0" xr:uid="{00000000-0006-0000-0100-000076000000}">
      <text>
        <r>
          <rPr>
            <sz val="9"/>
            <color rgb="FF000000"/>
            <rFont val="Arial"/>
            <family val="2"/>
          </rPr>
          <t>Informar a quantidade estimada por mês. Por exemplo, se a durabilidade estimada é de 6 meses, informar 1/6; se a durabilidade estimada é de 3 meses informar 1/3, etc..</t>
        </r>
        <r>
          <rPr>
            <sz val="9"/>
            <color rgb="FF000000"/>
            <rFont val="Arial"/>
            <family val="2"/>
          </rPr>
          <t xml:space="preserve">
</t>
        </r>
      </text>
    </comment>
    <comment ref="D308" authorId="0" shapeId="0" xr:uid="{00000000-0006-0000-0100-000077000000}">
      <text>
        <r>
          <rPr>
            <sz val="9"/>
            <color rgb="FF000000"/>
            <rFont val="Arial"/>
            <family val="2"/>
          </rPr>
          <t>Informar o valor unitário estimado para aquisição de cada material</t>
        </r>
      </text>
    </comment>
    <comment ref="A313" authorId="0" shapeId="0" xr:uid="{00000000-0006-0000-0100-000078000000}">
      <text>
        <r>
          <rPr>
            <b/>
            <sz val="9"/>
            <color rgb="FF000000"/>
            <rFont val="Arial"/>
            <family val="2"/>
          </rPr>
          <t>Especificar somente quando for exigido no Projeto Básico</t>
        </r>
        <r>
          <rPr>
            <b/>
            <sz val="9"/>
            <color rgb="FF000000"/>
            <rFont val="Arial"/>
            <family val="2"/>
          </rPr>
          <t xml:space="preserve">
</t>
        </r>
      </text>
    </comment>
    <comment ref="D316" authorId="0" shapeId="0" xr:uid="{00000000-0006-0000-0100-000079000000}">
      <text>
        <r>
          <rPr>
            <sz val="9"/>
            <color rgb="FF000000"/>
            <rFont val="Arial"/>
            <family val="2"/>
          </rPr>
          <t>Informar o valor total para instalação do equipamento de monitoramento da frota, se houver previsão no Projeto Básico</t>
        </r>
      </text>
    </comment>
    <comment ref="D318" authorId="0" shapeId="0" xr:uid="{00000000-0006-0000-0100-00007A000000}">
      <text>
        <r>
          <rPr>
            <sz val="9"/>
            <color rgb="FF000000"/>
            <rFont val="Arial"/>
            <family val="2"/>
          </rPr>
          <t>Informar o valor unitário mensal para manutenção dos equipamentos de monitoramento</t>
        </r>
      </text>
    </comment>
    <comment ref="C329" authorId="0" shapeId="0" xr:uid="{00000000-0006-0000-0100-00007B000000}">
      <text>
        <r>
          <rPr>
            <sz val="9"/>
            <color rgb="FF000000"/>
            <rFont val="Arial"/>
            <family val="2"/>
          </rPr>
          <t>Preencher a aba 4.BDI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9" authorId="0" shapeId="0" xr:uid="{523744B2-FAA9-46B5-817C-2D35562FFA95}">
      <text>
        <r>
          <rPr>
            <sz val="9"/>
            <color rgb="FF000000"/>
            <rFont val="Arial"/>
            <family val="2"/>
          </rPr>
          <t>Qualquer custo previsto no edital e não contemplado nesta planilha modelo deverá ser devidamente incluído</t>
        </r>
        <r>
          <rPr>
            <sz val="9"/>
            <color rgb="FF000000"/>
            <rFont val="Arial"/>
            <family val="2"/>
          </rPr>
          <t xml:space="preserve">
</t>
        </r>
      </text>
    </comment>
    <comment ref="B45" authorId="0" shapeId="0" xr:uid="{EA9ED13D-2446-4F9B-B907-037BD46CA78D}">
      <text>
        <r>
          <rPr>
            <b/>
            <sz val="9"/>
            <color rgb="FF000000"/>
            <rFont val="Arial"/>
            <family val="2"/>
          </rPr>
          <t>Informar o fator de utilização das equipes de coleta.</t>
        </r>
        <r>
          <rPr>
            <b/>
            <sz val="9"/>
            <color rgb="FF000000"/>
            <rFont val="Arial"/>
            <family val="2"/>
          </rPr>
          <t xml:space="preserve">
Por exemplo:</t>
        </r>
        <r>
          <rPr>
            <b/>
            <sz val="9"/>
            <color rgb="FF000000"/>
            <rFont val="Arial"/>
            <family val="2"/>
          </rPr>
          <t xml:space="preserve">
Equipes com utilização integral = 100%</t>
        </r>
        <r>
          <rPr>
            <b/>
            <sz val="9"/>
            <color rgb="FF000000"/>
            <rFont val="Arial"/>
            <family val="2"/>
          </rPr>
          <t xml:space="preserve">
Equipes com utilização parcial = n° horas trabalhadas por semana /44 horas</t>
        </r>
        <r>
          <rPr>
            <b/>
            <sz val="9"/>
            <color rgb="FF000000"/>
            <rFont val="Arial"/>
            <family val="2"/>
          </rPr>
          <t xml:space="preserve">
</t>
        </r>
      </text>
    </comment>
    <comment ref="D51" authorId="0" shapeId="0" xr:uid="{7034670F-8D48-47AE-8F46-3B552B5E4012}">
      <text>
        <r>
          <rPr>
            <sz val="9"/>
            <color rgb="FF000000"/>
            <rFont val="Arial"/>
            <family val="2"/>
          </rPr>
          <t>Informar o Piso da categoria fixado na Convenção Coletiva</t>
        </r>
      </text>
    </comment>
    <comment ref="A54" authorId="0" shapeId="0" xr:uid="{B9694D4A-8448-402C-97AC-1F72FD51C18C}">
      <text>
        <r>
          <rPr>
            <sz val="9"/>
            <color rgb="FF000000"/>
            <rFont val="Arial"/>
            <family val="2"/>
          </rPr>
          <t>Cálculo do descanso semanal remunerado incidente sobre as horas extras habitualmente prestadas. Considerada a média de 63 feriados + domingos e 302 dias trabalhados por ano</t>
        </r>
        <r>
          <rPr>
            <sz val="9"/>
            <color rgb="FF000000"/>
            <rFont val="Arial"/>
            <family val="2"/>
          </rPr>
          <t xml:space="preserve">
</t>
        </r>
      </text>
    </comment>
    <comment ref="C57" authorId="0" shapeId="0" xr:uid="{BF817000-EC0A-4E0E-9BC4-31CA457D10AC}">
      <text>
        <r>
          <rPr>
            <sz val="9"/>
            <color rgb="FF000000"/>
            <rFont val="Arial"/>
            <family val="2"/>
          </rPr>
          <t>Preencher a planilha Encargos Sociais e CAGED</t>
        </r>
      </text>
    </comment>
    <comment ref="C59" authorId="0" shapeId="0" xr:uid="{B9A150ED-E856-408A-8F80-1B87E99136CF}">
      <text>
        <r>
          <rPr>
            <sz val="9"/>
            <color rgb="FF000000"/>
            <rFont val="Arial"/>
            <family val="2"/>
          </rPr>
          <t>Informar a quantidade de trabalhadores na função</t>
        </r>
      </text>
    </comment>
    <comment ref="D65" authorId="0" shapeId="0" xr:uid="{32BD587F-9C8E-4031-9E52-F6FEF7D21575}">
      <text>
        <r>
          <rPr>
            <sz val="9"/>
            <color rgb="FF000000"/>
            <rFont val="Arial"/>
            <family val="2"/>
          </rPr>
          <t>Informar o Piso da categoria fixado na Convenção Coletiva</t>
        </r>
      </text>
    </comment>
    <comment ref="D66" authorId="0" shapeId="0" xr:uid="{857150B2-6017-4C8A-9EB7-1A2A051C5FA3}">
      <text>
        <r>
          <rPr>
            <sz val="9"/>
            <color rgb="FF000000"/>
            <rFont val="Arial"/>
            <family val="2"/>
          </rPr>
          <t>Informar o valor do salário Mínimo Nacional</t>
        </r>
      </text>
    </comment>
    <comment ref="C67" authorId="0" shapeId="0" xr:uid="{9EDCA340-6286-4475-949B-EE0432016416}">
      <text>
        <r>
          <rPr>
            <sz val="9"/>
            <color rgb="FF000000"/>
            <rFont val="Arial"/>
            <family val="2"/>
          </rPr>
          <t>Informar o número de horas extras trabalhadas em horário diurno nos domingos e feriados</t>
        </r>
      </text>
    </comment>
    <comment ref="C68" authorId="0" shapeId="0" xr:uid="{5A0E4958-DE2E-4C93-980E-DB848F643287}">
      <text>
        <r>
          <rPr>
            <sz val="9"/>
            <color rgb="FF000000"/>
            <rFont val="Arial"/>
            <family val="2"/>
          </rPr>
          <t>Informar o número de horas extras trabalhadas em horário diurno de segunda a sábado</t>
        </r>
        <r>
          <rPr>
            <sz val="9"/>
            <color rgb="FF000000"/>
            <rFont val="Arial"/>
            <family val="2"/>
          </rPr>
          <t xml:space="preserve">
</t>
        </r>
      </text>
    </comment>
    <comment ref="A69" authorId="0" shapeId="0" xr:uid="{5F0DDC20-BA78-4856-ACEC-FA09AF8AD059}">
      <text>
        <r>
          <rPr>
            <sz val="9"/>
            <color rgb="FF000000"/>
            <rFont val="Arial"/>
            <family val="2"/>
          </rPr>
          <t>Cálculo do descanso semanal remunerado incidente sobre as horas extras habitualmente prestadas. Considerada a média de 63 feriados + domingos e 302 dias trabalhados por ano</t>
        </r>
        <r>
          <rPr>
            <sz val="9"/>
            <color rgb="FF000000"/>
            <rFont val="Arial"/>
            <family val="2"/>
          </rPr>
          <t xml:space="preserve">
</t>
        </r>
      </text>
    </comment>
    <comment ref="C70" authorId="0" shapeId="0" xr:uid="{563394BB-9A38-4CBC-BFFD-8CE7025CECD9}">
      <text>
        <r>
          <rPr>
            <sz val="9"/>
            <color rgb="FF000000"/>
            <rFont val="Arial"/>
            <family val="2"/>
          </rPr>
          <t>Informar 1 se a base de cálculo for o Salário Mínimo Nacional; Informar 2 se a base de cálculo for o Piso da Categoria;</t>
        </r>
        <r>
          <rPr>
            <sz val="9"/>
            <color rgb="FF000000"/>
            <rFont val="Arial"/>
            <family val="2"/>
          </rPr>
          <t xml:space="preserve">
</t>
        </r>
      </text>
    </comment>
    <comment ref="C71" authorId="0" shapeId="0" xr:uid="{610395BD-BA79-41D2-98E4-D7B40441387B}">
      <text>
        <r>
          <rPr>
            <sz val="9"/>
            <color rgb="FF000000"/>
            <rFont val="Arial"/>
            <family val="2"/>
          </rPr>
          <t>Percentual estabelecido nas Normas de Segurança de Trabalho ou pelo laudo de responsável técnico devidamente habilitado</t>
        </r>
      </text>
    </comment>
    <comment ref="C73" authorId="0" shapeId="0" xr:uid="{C4FB1388-611D-4438-9858-3CE8242F7BD4}">
      <text>
        <r>
          <rPr>
            <sz val="9"/>
            <color rgb="FF000000"/>
            <rFont val="Arial"/>
            <family val="2"/>
          </rPr>
          <t>Preencher a planilha Encargos Sociais e CAGED</t>
        </r>
      </text>
    </comment>
    <comment ref="C75" authorId="0" shapeId="0" xr:uid="{120BE4EF-4C70-4288-97E7-3BD9CAE49898}">
      <text>
        <r>
          <rPr>
            <sz val="9"/>
            <color rgb="FF000000"/>
            <rFont val="Arial"/>
            <family val="2"/>
          </rPr>
          <t>Informar a quantidade de trabalhadores na função</t>
        </r>
      </text>
    </comment>
    <comment ref="D82" authorId="0" shapeId="0" xr:uid="{5216DA19-707C-4F47-8BDE-08FFF9A4145F}">
      <text>
        <r>
          <rPr>
            <sz val="9"/>
            <color rgb="FF000000"/>
            <rFont val="Arial"/>
            <family val="2"/>
          </rPr>
          <t>Informar o valor unitário do VT no município</t>
        </r>
      </text>
    </comment>
    <comment ref="C83" authorId="0" shapeId="0" xr:uid="{118B9584-1BE4-4299-8573-37F235A00B3F}">
      <text>
        <r>
          <rPr>
            <sz val="9"/>
            <color rgb="FF000000"/>
            <rFont val="Arial"/>
            <family val="2"/>
          </rPr>
          <t>Informar o número médio de dias trabalhados por mês</t>
        </r>
      </text>
    </comment>
    <comment ref="D84" authorId="0" shapeId="0" xr:uid="{5453D632-5240-4C08-B96A-862A95507D65}">
      <text>
        <r>
          <rPr>
            <sz val="9"/>
            <color rgb="FF000000"/>
            <rFont val="Arial"/>
            <family val="2"/>
          </rPr>
          <t>Valor Unitário considerando o desconto legal de até 6% do salário</t>
        </r>
      </text>
    </comment>
    <comment ref="D85" authorId="0" shapeId="0" xr:uid="{223FBF18-EDB0-48F7-937B-6CBDE105AD5C}">
      <text>
        <r>
          <rPr>
            <sz val="9"/>
            <color rgb="FF000000"/>
            <rFont val="Arial"/>
            <family val="2"/>
          </rPr>
          <t>Valor Unitário considerando o desconto legal de até 6% do salário</t>
        </r>
        <r>
          <rPr>
            <sz val="9"/>
            <color rgb="FF000000"/>
            <rFont val="Arial"/>
            <family val="2"/>
          </rPr>
          <t xml:space="preserve">
</t>
        </r>
      </text>
    </comment>
    <comment ref="D91" authorId="0" shapeId="0" xr:uid="{AA6C6D11-6025-40B8-81CE-626C14C88C2F}">
      <text>
        <r>
          <rPr>
            <sz val="9"/>
            <color rgb="FF000000"/>
            <rFont val="Arial"/>
            <family val="2"/>
          </rPr>
          <t>Informar o valor unitário diário do vale refeição, considerando o desconto aplicável ao funcionário, conforme Convenção Coletiva da categoria.</t>
        </r>
      </text>
    </comment>
    <comment ref="D92" authorId="0" shapeId="0" xr:uid="{D0B312FB-DFA1-4A94-9766-07451DDB43F0}">
      <text>
        <r>
          <rPr>
            <sz val="9"/>
            <color rgb="FF000000"/>
            <rFont val="Arial"/>
            <family val="2"/>
          </rPr>
          <t>Informar o valor unitário diário do vale refeição, considerando o desconto aplicável ao funcionário, conforme Convenção Coletiva da categoria.</t>
        </r>
      </text>
    </comment>
    <comment ref="D98" authorId="0" shapeId="0" xr:uid="{745DC92A-6E7E-4182-A43B-DD3E37E74BBD}">
      <text>
        <r>
          <rPr>
            <sz val="9"/>
            <color rgb="FF000000"/>
            <rFont val="Arial"/>
            <family val="2"/>
          </rPr>
          <t>Informar o valor mensal do auxilio alimentação, considerando o desconto aplicável ao funcionário, conforme Convenção Coletiva da categoria</t>
        </r>
      </text>
    </comment>
    <comment ref="D99" authorId="0" shapeId="0" xr:uid="{FB030B29-8FC9-440B-A877-2B2DCB983F6F}">
      <text>
        <r>
          <rPr>
            <sz val="9"/>
            <color rgb="FF000000"/>
            <rFont val="Arial"/>
            <family val="2"/>
          </rPr>
          <t>Informar o valor mensal do auxilio alimentação, considerando o desconto aplicável ao funcionário, conforme Convenção Coletiva da categoria</t>
        </r>
      </text>
    </comment>
    <comment ref="C111" authorId="0" shapeId="0" xr:uid="{D74387ED-F1F8-4D7B-8737-F1E3496D2571}">
      <text>
        <r>
          <rPr>
            <sz val="9"/>
            <color rgb="FF000000"/>
            <rFont val="Arial"/>
            <family val="2"/>
          </rPr>
          <t>Informar a durabilidade estimada em meses, para cada EPI</t>
        </r>
        <r>
          <rPr>
            <sz val="9"/>
            <color rgb="FF000000"/>
            <rFont val="Arial"/>
            <family val="2"/>
          </rPr>
          <t xml:space="preserve">
</t>
        </r>
      </text>
    </comment>
    <comment ref="D111" authorId="0" shapeId="0" xr:uid="{8165A228-5B71-48EB-B963-6DF6FDA33902}">
      <text>
        <r>
          <rPr>
            <sz val="9"/>
            <color rgb="FF000000"/>
            <rFont val="Arial"/>
            <family val="2"/>
          </rPr>
          <t>Informar o valor unitário estimado para aquisição de cada EPI</t>
        </r>
      </text>
    </comment>
    <comment ref="C112" authorId="0" shapeId="0" xr:uid="{71E1178A-0F6F-468B-80B8-124D0DCCA811}">
      <text>
        <r>
          <rPr>
            <sz val="9"/>
            <color rgb="FF000000"/>
            <rFont val="Arial"/>
            <family val="2"/>
          </rPr>
          <t>Informar a durabilidade estimada em meses, para cada EPI</t>
        </r>
        <r>
          <rPr>
            <sz val="9"/>
            <color rgb="FF000000"/>
            <rFont val="Arial"/>
            <family val="2"/>
          </rPr>
          <t xml:space="preserve">
</t>
        </r>
      </text>
    </comment>
    <comment ref="D112" authorId="0" shapeId="0" xr:uid="{E837E012-D199-4F07-8979-CC94CC01B514}">
      <text>
        <r>
          <rPr>
            <sz val="9"/>
            <color rgb="FF000000"/>
            <rFont val="Arial"/>
            <family val="2"/>
          </rPr>
          <t>Informar o valor unitário estimado para aquisição de cada EPI</t>
        </r>
      </text>
    </comment>
    <comment ref="C113" authorId="0" shapeId="0" xr:uid="{267E0143-A1CD-4E0F-A49F-9A25E6DED0F2}">
      <text>
        <r>
          <rPr>
            <sz val="9"/>
            <color rgb="FF000000"/>
            <rFont val="Arial"/>
            <family val="2"/>
          </rPr>
          <t>Informar a durabilidade estimada em meses, para cada EPI</t>
        </r>
        <r>
          <rPr>
            <sz val="9"/>
            <color rgb="FF000000"/>
            <rFont val="Arial"/>
            <family val="2"/>
          </rPr>
          <t xml:space="preserve">
</t>
        </r>
      </text>
    </comment>
    <comment ref="D113" authorId="0" shapeId="0" xr:uid="{F572A835-25AD-4879-97DD-B8225359386D}">
      <text>
        <r>
          <rPr>
            <sz val="9"/>
            <color rgb="FF000000"/>
            <rFont val="Arial"/>
            <family val="2"/>
          </rPr>
          <t>Informar o valor unitário estimado para aquisição de cada EPI</t>
        </r>
      </text>
    </comment>
    <comment ref="C114" authorId="0" shapeId="0" xr:uid="{EF80EBBF-7F70-4F95-804F-D3D11D04F782}">
      <text>
        <r>
          <rPr>
            <sz val="9"/>
            <color rgb="FF000000"/>
            <rFont val="Arial"/>
            <family val="2"/>
          </rPr>
          <t>Informar a durabilidade estimada em meses, para cada EPI</t>
        </r>
        <r>
          <rPr>
            <sz val="9"/>
            <color rgb="FF000000"/>
            <rFont val="Arial"/>
            <family val="2"/>
          </rPr>
          <t xml:space="preserve">
</t>
        </r>
      </text>
    </comment>
    <comment ref="D114" authorId="0" shapeId="0" xr:uid="{32FC5E35-DD20-4C34-A138-F7E6D4050536}">
      <text>
        <r>
          <rPr>
            <sz val="9"/>
            <color rgb="FF000000"/>
            <rFont val="Arial"/>
            <family val="2"/>
          </rPr>
          <t>Informar o valor unitário estimado para aquisição de cada EPI</t>
        </r>
      </text>
    </comment>
    <comment ref="C115" authorId="0" shapeId="0" xr:uid="{BBD7AE92-68B8-471E-8F52-0B8E2C89A373}">
      <text>
        <r>
          <rPr>
            <sz val="9"/>
            <color rgb="FF000000"/>
            <rFont val="Arial"/>
            <family val="2"/>
          </rPr>
          <t>Informar a durabilidade estimada em meses, para cada EPI</t>
        </r>
        <r>
          <rPr>
            <sz val="9"/>
            <color rgb="FF000000"/>
            <rFont val="Arial"/>
            <family val="2"/>
          </rPr>
          <t xml:space="preserve">
</t>
        </r>
      </text>
    </comment>
    <comment ref="D115" authorId="0" shapeId="0" xr:uid="{27B0D579-EDEA-486F-8652-0D0B01082BD1}">
      <text>
        <r>
          <rPr>
            <sz val="9"/>
            <color rgb="FF000000"/>
            <rFont val="Arial"/>
            <family val="2"/>
          </rPr>
          <t>Informar o valor unitário estimado para aquisição de cada EPI</t>
        </r>
      </text>
    </comment>
    <comment ref="C116" authorId="0" shapeId="0" xr:uid="{2AE53AA2-F1F7-4EDA-8AD7-D6E9374F2C90}">
      <text>
        <r>
          <rPr>
            <sz val="9"/>
            <color rgb="FF000000"/>
            <rFont val="Arial"/>
            <family val="2"/>
          </rPr>
          <t>Informar a durabilidade estimada em meses, para cada EPI</t>
        </r>
        <r>
          <rPr>
            <sz val="9"/>
            <color rgb="FF000000"/>
            <rFont val="Arial"/>
            <family val="2"/>
          </rPr>
          <t xml:space="preserve">
</t>
        </r>
      </text>
    </comment>
    <comment ref="D116" authorId="0" shapeId="0" xr:uid="{6AA40A1A-0982-4DEA-91C0-5C4D411AA0C9}">
      <text>
        <r>
          <rPr>
            <sz val="9"/>
            <color rgb="FF000000"/>
            <rFont val="Arial"/>
            <family val="2"/>
          </rPr>
          <t>Informar o valor unitário estimado para aquisição de cada EPI</t>
        </r>
      </text>
    </comment>
    <comment ref="C117" authorId="0" shapeId="0" xr:uid="{81BC0999-2ADA-4D05-A06B-7404CB9B6CD4}">
      <text>
        <r>
          <rPr>
            <sz val="9"/>
            <color rgb="FF000000"/>
            <rFont val="Arial"/>
            <family val="2"/>
          </rPr>
          <t>Informar a durabilidade estimada em meses, para cada EPI</t>
        </r>
        <r>
          <rPr>
            <sz val="9"/>
            <color rgb="FF000000"/>
            <rFont val="Arial"/>
            <family val="2"/>
          </rPr>
          <t xml:space="preserve">
</t>
        </r>
      </text>
    </comment>
    <comment ref="D117" authorId="0" shapeId="0" xr:uid="{C1A8E7E1-5CBB-4BC9-920D-4084E9B03250}">
      <text>
        <r>
          <rPr>
            <sz val="9"/>
            <color rgb="FF000000"/>
            <rFont val="Arial"/>
            <family val="2"/>
          </rPr>
          <t>Informar o valor unitário estimado para aquisição de cada EPI</t>
        </r>
      </text>
    </comment>
    <comment ref="C118" authorId="0" shapeId="0" xr:uid="{9007E3FF-599B-480C-9642-8E9BF5616F2B}">
      <text>
        <r>
          <rPr>
            <sz val="9"/>
            <color rgb="FF000000"/>
            <rFont val="Arial"/>
            <family val="2"/>
          </rPr>
          <t>Informar a durabilidade estimada em meses, para cada EPI</t>
        </r>
        <r>
          <rPr>
            <sz val="9"/>
            <color rgb="FF000000"/>
            <rFont val="Arial"/>
            <family val="2"/>
          </rPr>
          <t xml:space="preserve">
</t>
        </r>
      </text>
    </comment>
    <comment ref="D118" authorId="0" shapeId="0" xr:uid="{92C8C2B2-A356-453A-95C4-6FABC8B32B6C}">
      <text>
        <r>
          <rPr>
            <sz val="9"/>
            <color rgb="FF000000"/>
            <rFont val="Arial"/>
            <family val="2"/>
          </rPr>
          <t>Informar o valor unitário estimado para aquisição de cada EPI</t>
        </r>
      </text>
    </comment>
    <comment ref="C119" authorId="0" shapeId="0" xr:uid="{9340942F-EA8B-4DFA-8583-19113F32A342}">
      <text>
        <r>
          <rPr>
            <sz val="9"/>
            <color rgb="FF000000"/>
            <rFont val="Arial"/>
            <family val="2"/>
          </rPr>
          <t>Informar a durabilidade estimada em meses, para cada EPI</t>
        </r>
        <r>
          <rPr>
            <sz val="9"/>
            <color rgb="FF000000"/>
            <rFont val="Arial"/>
            <family val="2"/>
          </rPr>
          <t xml:space="preserve">
</t>
        </r>
      </text>
    </comment>
    <comment ref="D119" authorId="0" shapeId="0" xr:uid="{04D95C70-0421-40C8-B9B8-FB6E0A95BC1C}">
      <text>
        <r>
          <rPr>
            <sz val="9"/>
            <color rgb="FF000000"/>
            <rFont val="Arial"/>
            <family val="2"/>
          </rPr>
          <t>Informar o valor unitário estimado para aquisição de cada EPI</t>
        </r>
      </text>
    </comment>
    <comment ref="D120" authorId="0" shapeId="0" xr:uid="{72E63087-9296-4EDF-8782-8B55A38542E5}">
      <text>
        <r>
          <rPr>
            <sz val="9"/>
            <color rgb="FF000000"/>
            <rFont val="Arial"/>
            <family val="2"/>
          </rPr>
          <t>Informar o valor mensal de higienização de uniforme para 1 funcionário</t>
        </r>
      </text>
    </comment>
    <comment ref="C127" authorId="0" shapeId="0" xr:uid="{234A435A-A759-4A6A-800A-44288F313ADF}">
      <text>
        <r>
          <rPr>
            <sz val="9"/>
            <color rgb="FF000000"/>
            <rFont val="Arial"/>
            <family val="2"/>
          </rPr>
          <t>Informar a durabilidade estimada em meses, para cada EPI</t>
        </r>
        <r>
          <rPr>
            <sz val="9"/>
            <color rgb="FF000000"/>
            <rFont val="Arial"/>
            <family val="2"/>
          </rPr>
          <t xml:space="preserve">
</t>
        </r>
      </text>
    </comment>
    <comment ref="C128" authorId="0" shapeId="0" xr:uid="{96CA9705-FF8A-4E8A-9E9E-83CEA29808CA}">
      <text>
        <r>
          <rPr>
            <sz val="9"/>
            <color rgb="FF000000"/>
            <rFont val="Arial"/>
            <family val="2"/>
          </rPr>
          <t>Informar a durabilidade estimada em meses, para cada EPI</t>
        </r>
        <r>
          <rPr>
            <sz val="9"/>
            <color rgb="FF000000"/>
            <rFont val="Arial"/>
            <family val="2"/>
          </rPr>
          <t xml:space="preserve">
</t>
        </r>
      </text>
    </comment>
    <comment ref="C129" authorId="0" shapeId="0" xr:uid="{963E8ECA-56CA-4A09-A55E-1CE85BC710F5}">
      <text>
        <r>
          <rPr>
            <sz val="9"/>
            <color rgb="FF000000"/>
            <rFont val="Arial"/>
            <family val="2"/>
          </rPr>
          <t>Informar a durabilidade estimada em meses, para cada EPI</t>
        </r>
        <r>
          <rPr>
            <sz val="9"/>
            <color rgb="FF000000"/>
            <rFont val="Arial"/>
            <family val="2"/>
          </rPr>
          <t xml:space="preserve">
</t>
        </r>
      </text>
    </comment>
    <comment ref="C130" authorId="0" shapeId="0" xr:uid="{98A3C9B7-0498-4570-BFD4-097345DC7AD1}">
      <text>
        <r>
          <rPr>
            <sz val="9"/>
            <color rgb="FF000000"/>
            <rFont val="Arial"/>
            <family val="2"/>
          </rPr>
          <t>Informar a durabilidade estimada em meses, para cada EPI</t>
        </r>
        <r>
          <rPr>
            <sz val="9"/>
            <color rgb="FF000000"/>
            <rFont val="Arial"/>
            <family val="2"/>
          </rPr>
          <t xml:space="preserve">
</t>
        </r>
      </text>
    </comment>
    <comment ref="C131" authorId="0" shapeId="0" xr:uid="{A6B0E39B-D14F-4D08-B59C-0E33BB85696C}">
      <text>
        <r>
          <rPr>
            <sz val="9"/>
            <color rgb="FF000000"/>
            <rFont val="Arial"/>
            <family val="2"/>
          </rPr>
          <t>Informar a durabilidade estimada em meses, para cada EPI</t>
        </r>
        <r>
          <rPr>
            <sz val="9"/>
            <color rgb="FF000000"/>
            <rFont val="Arial"/>
            <family val="2"/>
          </rPr>
          <t xml:space="preserve">
</t>
        </r>
      </text>
    </comment>
    <comment ref="D144" authorId="0" shapeId="0" xr:uid="{E054A881-9311-48DA-B4AC-9444080693BC}">
      <text>
        <r>
          <rPr>
            <sz val="9"/>
            <color rgb="FF000000"/>
            <rFont val="Arial"/>
            <family val="2"/>
          </rPr>
          <t>Informar o preço unitário do chassis do caminhão de coleta</t>
        </r>
      </text>
    </comment>
    <comment ref="C145" authorId="0" shapeId="0" xr:uid="{0E8EDC6F-E0D8-4C90-987F-4F2E398559B4}">
      <text>
        <r>
          <rPr>
            <sz val="9"/>
            <color rgb="FF000000"/>
            <rFont val="Arial"/>
            <family val="2"/>
          </rPr>
          <t>Informar a vida útil estimada para o caminhão, em anos</t>
        </r>
      </text>
    </comment>
    <comment ref="C146" authorId="0" shapeId="0" xr:uid="{5965AC08-16F7-4E2F-A0AD-26BC4F11573A}">
      <text>
        <r>
          <rPr>
            <sz val="9"/>
            <color rgb="FF000000"/>
            <rFont val="Arial"/>
            <family val="2"/>
          </rPr>
          <t>Na elaboração do orçamento-base da licitação, informar 0 (zero). Na proposta da licitante, informar a idade do veículo proposto.</t>
        </r>
      </text>
    </comment>
    <comment ref="C147" authorId="0" shapeId="0" xr:uid="{83EC272E-46A1-4BB4-BD22-2F3CEBACB9F3}">
      <text>
        <r>
          <rPr>
            <b/>
            <sz val="9"/>
            <color rgb="FF000000"/>
            <rFont val="Arial"/>
            <family val="2"/>
          </rPr>
          <t>Informar o valor da depreciação do caminhão, adotando o valor sugerido pelo TCE ou outro valor estimado</t>
        </r>
        <r>
          <rPr>
            <b/>
            <sz val="9"/>
            <color rgb="FF000000"/>
            <rFont val="Arial"/>
            <family val="2"/>
          </rPr>
          <t xml:space="preserve">
</t>
        </r>
      </text>
    </comment>
    <comment ref="D149" authorId="0" shapeId="0" xr:uid="{DAD3257F-70EA-4F5E-A798-972125DB00FA}">
      <text>
        <r>
          <rPr>
            <sz val="9"/>
            <color rgb="FF000000"/>
            <rFont val="Arial"/>
            <family val="2"/>
          </rPr>
          <t>Informar o preço unitário do equipamento compactador</t>
        </r>
        <r>
          <rPr>
            <sz val="9"/>
            <color rgb="FF000000"/>
            <rFont val="Arial"/>
            <family val="2"/>
          </rPr>
          <t xml:space="preserve">
</t>
        </r>
      </text>
    </comment>
    <comment ref="C150" authorId="0" shapeId="0" xr:uid="{C4FE41AB-2EC9-4DAD-9D90-2B67C22390FE}">
      <text>
        <r>
          <rPr>
            <sz val="9"/>
            <color rgb="FF000000"/>
            <rFont val="Arial"/>
            <family val="2"/>
          </rPr>
          <t>Informar a vida útil estimada para o compactador, em anos</t>
        </r>
      </text>
    </comment>
    <comment ref="C151" authorId="0" shapeId="0" xr:uid="{48343851-C964-4FC3-A894-108DFFBC12E2}">
      <text>
        <r>
          <rPr>
            <sz val="9"/>
            <color rgb="FF000000"/>
            <rFont val="Arial"/>
            <family val="2"/>
          </rPr>
          <t>Na elaboração do orçamento-base da licitação, informar 0 (zero). Na proposta da licitante, informar a idade do compactador proposto.</t>
        </r>
      </text>
    </comment>
    <comment ref="C152" authorId="0" shapeId="0" xr:uid="{33DA2E61-7A6E-43A4-A261-654FD42F8C5F}">
      <text>
        <r>
          <rPr>
            <b/>
            <sz val="9"/>
            <color rgb="FF000000"/>
            <rFont val="Arial"/>
            <family val="2"/>
          </rPr>
          <t>Informar o valor da depreciação do compactador, adotando o valor sugerido pelo TCE ou outro valor estimado</t>
        </r>
        <r>
          <rPr>
            <b/>
            <sz val="9"/>
            <color rgb="FF000000"/>
            <rFont val="Arial"/>
            <family val="2"/>
          </rPr>
          <t xml:space="preserve">
</t>
        </r>
      </text>
    </comment>
    <comment ref="C155" authorId="0" shapeId="0" xr:uid="{E7117457-3715-4B44-B269-CACB6D6B1A5F}">
      <text>
        <r>
          <rPr>
            <sz val="9"/>
            <color rgb="FF000000"/>
            <rFont val="Arial"/>
            <family val="2"/>
          </rPr>
          <t>Informar a quantidade de caminhões compactadores do respectivo modelo</t>
        </r>
      </text>
    </comment>
    <comment ref="C161" authorId="0" shapeId="0" xr:uid="{34F1F708-6839-406B-B9D4-AB2730DA999E}">
      <text>
        <r>
          <rPr>
            <b/>
            <sz val="9"/>
            <color rgb="FF000000"/>
            <rFont val="Arial"/>
            <family val="2"/>
          </rPr>
          <t>Informar a taxa de juros anual para remuneração do capital. Recomenda-se o uso da Taxa SELIC</t>
        </r>
        <r>
          <rPr>
            <b/>
            <sz val="9"/>
            <color rgb="FF000000"/>
            <rFont val="Arial"/>
            <family val="2"/>
          </rPr>
          <t xml:space="preserve">
</t>
        </r>
      </text>
    </comment>
    <comment ref="D177" authorId="0" shapeId="0" xr:uid="{2D6B7B75-0DE3-4CC2-95DD-6B82332FB290}">
      <text>
        <r>
          <rPr>
            <sz val="9"/>
            <color rgb="FF000000"/>
            <rFont val="Arial"/>
            <family val="2"/>
          </rPr>
          <t>Informar o valor do seguro obrigatório e licenciamento anual de um caminhão</t>
        </r>
        <r>
          <rPr>
            <sz val="9"/>
            <color rgb="FF000000"/>
            <rFont val="Arial"/>
            <family val="2"/>
          </rPr>
          <t xml:space="preserve">
</t>
        </r>
      </text>
    </comment>
    <comment ref="D178" authorId="0" shapeId="0" xr:uid="{65A92876-660A-4A6A-9883-457976B71D56}">
      <text>
        <r>
          <rPr>
            <sz val="9"/>
            <color rgb="FF000000"/>
            <rFont val="Arial"/>
            <family val="2"/>
          </rPr>
          <t>Informar o valor do seguro contra terceiros de um caminhão, se houver previsão no Projeto Básico</t>
        </r>
        <r>
          <rPr>
            <sz val="9"/>
            <color rgb="FF000000"/>
            <rFont val="Arial"/>
            <family val="2"/>
          </rPr>
          <t xml:space="preserve">
</t>
        </r>
      </text>
    </comment>
    <comment ref="B184" authorId="0" shapeId="0" xr:uid="{B6753216-884C-4F87-81AC-3E1CFA81C862}">
      <text>
        <r>
          <rPr>
            <sz val="9"/>
            <color rgb="FF000000"/>
            <rFont val="Arial"/>
            <family val="2"/>
          </rPr>
          <t>Informar a quilometragem mensal percorrida, de acordo com o projeto básico</t>
        </r>
        <r>
          <rPr>
            <sz val="9"/>
            <color rgb="FF000000"/>
            <rFont val="Arial"/>
            <family val="2"/>
          </rPr>
          <t xml:space="preserve">
</t>
        </r>
      </text>
    </comment>
    <comment ref="C187" authorId="0" shapeId="0" xr:uid="{719D0492-26BC-4413-9471-8B85ECCCCA5B}">
      <text>
        <r>
          <rPr>
            <sz val="9"/>
            <color rgb="FF000000"/>
            <rFont val="Arial"/>
            <family val="2"/>
          </rPr>
          <t>Informar o consumo estimado do veículo em km/l</t>
        </r>
      </text>
    </comment>
    <comment ref="D187" authorId="0" shapeId="0" xr:uid="{19938660-C2BB-4E8A-B453-2CA15788773F}">
      <text>
        <r>
          <rPr>
            <sz val="9"/>
            <color rgb="FF000000"/>
            <rFont val="Arial"/>
            <family val="2"/>
          </rPr>
          <t>Informar o preço unitário do combustivel</t>
        </r>
        <r>
          <rPr>
            <sz val="9"/>
            <color rgb="FF000000"/>
            <rFont val="Arial"/>
            <family val="2"/>
          </rPr>
          <t xml:space="preserve">
</t>
        </r>
      </text>
    </comment>
    <comment ref="C189" authorId="0" shapeId="0" xr:uid="{FEE1977B-99FB-4BC9-99CD-580508F09287}">
      <text>
        <r>
          <rPr>
            <sz val="9"/>
            <color rgb="FF000000"/>
            <rFont val="Arial"/>
            <family val="2"/>
          </rPr>
          <t>Informar o consumo de óleo do motor a cada 1000km</t>
        </r>
      </text>
    </comment>
    <comment ref="C191" authorId="0" shapeId="0" xr:uid="{AFF33F18-0B04-4741-BD46-D7654A677223}">
      <text>
        <r>
          <rPr>
            <sz val="9"/>
            <color rgb="FF000000"/>
            <rFont val="Arial"/>
            <family val="2"/>
          </rPr>
          <t>Informar o consumo de óleo da transmissão a cada 1000km</t>
        </r>
      </text>
    </comment>
    <comment ref="D191" authorId="0" shapeId="0" xr:uid="{C2C8AF93-1120-4B7A-B65F-9D9812DE2BC7}">
      <text>
        <r>
          <rPr>
            <sz val="9"/>
            <color rgb="FF000000"/>
            <rFont val="Arial"/>
            <family val="2"/>
          </rPr>
          <t>Informar o preço unitário do litro do óleo da transmissão</t>
        </r>
        <r>
          <rPr>
            <sz val="9"/>
            <color rgb="FF000000"/>
            <rFont val="Arial"/>
            <family val="2"/>
          </rPr>
          <t xml:space="preserve">
</t>
        </r>
      </text>
    </comment>
    <comment ref="C193" authorId="0" shapeId="0" xr:uid="{8F578AC7-AF6B-49F0-9900-F024D6D41543}">
      <text>
        <r>
          <rPr>
            <sz val="9"/>
            <color rgb="FF000000"/>
            <rFont val="Arial"/>
            <family val="2"/>
          </rPr>
          <t>Informar o consumo de óleo hidráulico a cada 1000km</t>
        </r>
      </text>
    </comment>
    <comment ref="D193" authorId="0" shapeId="0" xr:uid="{1E97682E-FAD7-4F5A-A5A3-B2A0E0F781C5}">
      <text>
        <r>
          <rPr>
            <sz val="9"/>
            <color rgb="FF000000"/>
            <rFont val="Arial"/>
            <family val="2"/>
          </rPr>
          <t>Informar o preço unitário do litro do óleo hidráulico</t>
        </r>
        <r>
          <rPr>
            <sz val="9"/>
            <color rgb="FF000000"/>
            <rFont val="Arial"/>
            <family val="2"/>
          </rPr>
          <t xml:space="preserve">
</t>
        </r>
      </text>
    </comment>
    <comment ref="C195" authorId="0" shapeId="0" xr:uid="{6785F60E-6554-484B-ACDC-3BC70AB77883}">
      <text>
        <r>
          <rPr>
            <sz val="9"/>
            <color rgb="FF000000"/>
            <rFont val="Arial"/>
            <family val="2"/>
          </rPr>
          <t>Informar o consumo de graxa a cada 1000km</t>
        </r>
      </text>
    </comment>
    <comment ref="D195" authorId="0" shapeId="0" xr:uid="{8BDDAC7F-C8FC-478D-B00E-AB2CE30B5A54}">
      <text>
        <r>
          <rPr>
            <sz val="9"/>
            <color rgb="FF000000"/>
            <rFont val="Arial"/>
            <family val="2"/>
          </rPr>
          <t>Informar o preço unitário do litro da graxa</t>
        </r>
        <r>
          <rPr>
            <sz val="9"/>
            <color rgb="FF000000"/>
            <rFont val="Arial"/>
            <family val="2"/>
          </rPr>
          <t xml:space="preserve">
</t>
        </r>
      </text>
    </comment>
    <comment ref="C207" authorId="0" shapeId="0" xr:uid="{8FC28B6A-F729-462B-85EF-2104F90910EE}">
      <text>
        <r>
          <rPr>
            <sz val="9"/>
            <color rgb="FF000000"/>
            <rFont val="Arial"/>
            <family val="2"/>
          </rPr>
          <t>Informar a quantidade de pneus novos de 1 caminhão</t>
        </r>
      </text>
    </comment>
    <comment ref="C208" authorId="0" shapeId="0" xr:uid="{703282DB-4B9A-4E71-A29F-5938547FF312}">
      <text>
        <r>
          <rPr>
            <sz val="9"/>
            <color rgb="FF000000"/>
            <rFont val="Arial"/>
            <family val="2"/>
          </rPr>
          <t>Informar o número de recapagens por pneu</t>
        </r>
      </text>
    </comment>
    <comment ref="C210" authorId="0" shapeId="0" xr:uid="{6E4EDF5D-D37A-4BDD-AFA6-B08348FDB902}">
      <text>
        <r>
          <rPr>
            <sz val="9"/>
            <color rgb="FF000000"/>
            <rFont val="Arial"/>
            <family val="2"/>
          </rPr>
          <t>Informar a durabilidade média dos pneus considerando todas as recapagens, em km</t>
        </r>
        <r>
          <rPr>
            <sz val="9"/>
            <color rgb="FF000000"/>
            <rFont val="Arial"/>
            <family val="2"/>
          </rPr>
          <t xml:space="preserve">
</t>
        </r>
      </text>
    </comment>
    <comment ref="C222" authorId="0" shapeId="0" xr:uid="{A3848D87-85CE-4D62-B5F2-6938B73FA50F}">
      <text>
        <r>
          <rPr>
            <sz val="9"/>
            <color rgb="FF000000"/>
            <rFont val="Arial"/>
            <family val="2"/>
          </rPr>
          <t>Informar a quantidade estimada por mês. Por exemplo, se a durabilidade estimada é de 6 meses, informar 1/6; se a durabilidade estimada é de 3 meses informar 1/3, etc..</t>
        </r>
        <r>
          <rPr>
            <sz val="9"/>
            <color rgb="FF000000"/>
            <rFont val="Arial"/>
            <family val="2"/>
          </rPr>
          <t xml:space="preserve">
</t>
        </r>
      </text>
    </comment>
    <comment ref="D222" authorId="0" shapeId="0" xr:uid="{13942A0B-CF09-4F91-AC5E-E114821380A3}">
      <text>
        <r>
          <rPr>
            <sz val="9"/>
            <color rgb="FF000000"/>
            <rFont val="Arial"/>
            <family val="2"/>
          </rPr>
          <t>Informar o valor unitário estimado para aquisição de cada material</t>
        </r>
      </text>
    </comment>
    <comment ref="C223" authorId="0" shapeId="0" xr:uid="{78E0413C-E600-4693-9FEC-AF7FB6323AE2}">
      <text>
        <r>
          <rPr>
            <sz val="9"/>
            <color rgb="FF000000"/>
            <rFont val="Arial"/>
            <family val="2"/>
          </rPr>
          <t>Informar a quantidade estimada por mês. Por exemplo, se a durabilidade estimada é de 6 meses, informar 1/6; se a durabilidade estimada é de 3 meses informar 1/3, etc..</t>
        </r>
        <r>
          <rPr>
            <sz val="9"/>
            <color rgb="FF000000"/>
            <rFont val="Arial"/>
            <family val="2"/>
          </rPr>
          <t xml:space="preserve">
</t>
        </r>
      </text>
    </comment>
    <comment ref="D223" authorId="0" shapeId="0" xr:uid="{04D74B49-1FCE-4723-A041-1939FF5C3230}">
      <text>
        <r>
          <rPr>
            <sz val="9"/>
            <color rgb="FF000000"/>
            <rFont val="Arial"/>
            <family val="2"/>
          </rPr>
          <t>Informar o valor unitário estimado para aquisição de cada material</t>
        </r>
      </text>
    </comment>
    <comment ref="C224" authorId="0" shapeId="0" xr:uid="{F6206C16-588E-4B51-A116-063896E6C12E}">
      <text>
        <r>
          <rPr>
            <sz val="9"/>
            <color rgb="FF000000"/>
            <rFont val="Arial"/>
            <family val="2"/>
          </rPr>
          <t>Informar a quantidade estimada por mês. Por exemplo, se a durabilidade estimada é de 6 meses, informar 1/6; se a durabilidade estimada é de 3 meses informar 1/3, etc..</t>
        </r>
        <r>
          <rPr>
            <sz val="9"/>
            <color rgb="FF000000"/>
            <rFont val="Arial"/>
            <family val="2"/>
          </rPr>
          <t xml:space="preserve">
</t>
        </r>
      </text>
    </comment>
    <comment ref="D224" authorId="0" shapeId="0" xr:uid="{110089F8-6EA6-4DE1-B525-429B7C3BF7C5}">
      <text>
        <r>
          <rPr>
            <sz val="9"/>
            <color rgb="FF000000"/>
            <rFont val="Arial"/>
            <family val="2"/>
          </rPr>
          <t>Informar o valor unitário estimado para aquisição de cada material</t>
        </r>
      </text>
    </comment>
    <comment ref="D225" authorId="0" shapeId="0" xr:uid="{C9307C47-12CB-4EF5-B1C9-6A76E7758228}">
      <text>
        <r>
          <rPr>
            <sz val="9"/>
            <color rgb="FF000000"/>
            <rFont val="Arial"/>
            <family val="2"/>
          </rPr>
          <t>Informar o valor unitário estimado para aquisição de cada material</t>
        </r>
      </text>
    </comment>
    <comment ref="C226" authorId="0" shapeId="0" xr:uid="{E9202AF9-4D49-4D1B-A949-0664C565ACA0}">
      <text>
        <r>
          <rPr>
            <sz val="9"/>
            <color rgb="FF000000"/>
            <rFont val="Arial"/>
            <family val="2"/>
          </rPr>
          <t>Informar a quantidade estimada por mês. Por exemplo, se a durabilidade estimada é de 6 meses, informar 1/6; se a durabilidade estimada é de 3 meses informar 1/3, etc..</t>
        </r>
        <r>
          <rPr>
            <sz val="9"/>
            <color rgb="FF000000"/>
            <rFont val="Arial"/>
            <family val="2"/>
          </rPr>
          <t xml:space="preserve">
</t>
        </r>
      </text>
    </comment>
    <comment ref="D226" authorId="0" shapeId="0" xr:uid="{0A318438-8C77-4A2C-85D5-A13E75A0EBAF}">
      <text>
        <r>
          <rPr>
            <sz val="9"/>
            <color rgb="FF000000"/>
            <rFont val="Arial"/>
            <family val="2"/>
          </rPr>
          <t>Informar o valor unitário estimado para aquisição de cada material</t>
        </r>
      </text>
    </comment>
    <comment ref="A231" authorId="0" shapeId="0" xr:uid="{99F0394B-7498-4A37-8D25-1A73BC40C106}">
      <text>
        <r>
          <rPr>
            <b/>
            <sz val="9"/>
            <color rgb="FF000000"/>
            <rFont val="Arial"/>
            <family val="2"/>
          </rPr>
          <t>Especificar somente quando for exigido no Projeto Básico</t>
        </r>
        <r>
          <rPr>
            <b/>
            <sz val="9"/>
            <color rgb="FF000000"/>
            <rFont val="Arial"/>
            <family val="2"/>
          </rPr>
          <t xml:space="preserve">
</t>
        </r>
      </text>
    </comment>
    <comment ref="D234" authorId="0" shapeId="0" xr:uid="{0055A838-47E8-4D78-AF6B-C85C5F6E8B13}">
      <text>
        <r>
          <rPr>
            <sz val="9"/>
            <color rgb="FF000000"/>
            <rFont val="Arial"/>
            <family val="2"/>
          </rPr>
          <t>Informar o valor total para instalação do equipamento de monitoramento da frota, se houver previsão no Projeto Básico</t>
        </r>
      </text>
    </comment>
    <comment ref="D236" authorId="0" shapeId="0" xr:uid="{4C2F183E-3278-43C6-832A-03474E5EF3E8}">
      <text>
        <r>
          <rPr>
            <sz val="9"/>
            <color rgb="FF000000"/>
            <rFont val="Arial"/>
            <family val="2"/>
          </rPr>
          <t>Informar o valor unitário mensal para manutenção dos equipamentos de monitoramento</t>
        </r>
      </text>
    </comment>
    <comment ref="C247" authorId="0" shapeId="0" xr:uid="{57B76A50-9BD9-40FB-8652-D421586DF07B}">
      <text>
        <r>
          <rPr>
            <sz val="9"/>
            <color rgb="FF000000"/>
            <rFont val="Arial"/>
            <family val="2"/>
          </rPr>
          <t>Preencher a aba 4.BDI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C12" authorId="0" shapeId="0" xr:uid="{00000000-0006-0000-0500-000001000000}">
      <text>
        <r>
          <rPr>
            <b/>
            <sz val="9"/>
            <color rgb="FF000000"/>
            <rFont val="Arial"/>
            <family val="2"/>
          </rPr>
          <t>Informar o % de Administração Central estimado</t>
        </r>
        <r>
          <rPr>
            <b/>
            <sz val="9"/>
            <color rgb="FF000000"/>
            <rFont val="Arial"/>
            <family val="2"/>
          </rPr>
          <t xml:space="preserve">
</t>
        </r>
      </text>
    </comment>
    <comment ref="C13" authorId="0" shapeId="0" xr:uid="{00000000-0006-0000-0500-000002000000}">
      <text>
        <r>
          <rPr>
            <b/>
            <sz val="9"/>
            <color rgb="FF000000"/>
            <rFont val="Arial"/>
            <family val="2"/>
          </rPr>
          <t>Informar o % de Seguros, Riscos e Garantia estimado</t>
        </r>
        <r>
          <rPr>
            <b/>
            <sz val="9"/>
            <color rgb="FF000000"/>
            <rFont val="Arial"/>
            <family val="2"/>
          </rPr>
          <t xml:space="preserve">
</t>
        </r>
      </text>
    </comment>
    <comment ref="C14" authorId="0" shapeId="0" xr:uid="{00000000-0006-0000-0500-000003000000}">
      <text>
        <r>
          <rPr>
            <b/>
            <sz val="9"/>
            <color rgb="FF000000"/>
            <rFont val="Arial"/>
            <family val="2"/>
          </rPr>
          <t>Informar o % de Lucro estimado</t>
        </r>
        <r>
          <rPr>
            <b/>
            <sz val="9"/>
            <color rgb="FF000000"/>
            <rFont val="Arial"/>
            <family val="2"/>
          </rPr>
          <t xml:space="preserve">
</t>
        </r>
      </text>
    </comment>
    <comment ref="E15" authorId="0" shapeId="0" xr:uid="{00000000-0006-0000-0500-000004000000}">
      <text>
        <r>
          <rPr>
            <b/>
            <sz val="9"/>
            <color rgb="FF000000"/>
            <rFont val="Arial"/>
            <family val="2"/>
          </rPr>
          <t>Informar o valor anual da taxa financeira, em percentual. Admite-se utilizar a SELIC</t>
        </r>
      </text>
    </comment>
    <comment ref="C16" authorId="0" shapeId="0" xr:uid="{00000000-0006-0000-0500-000005000000}">
      <text>
        <r>
          <rPr>
            <b/>
            <sz val="9"/>
            <color rgb="FF000000"/>
            <rFont val="Arial"/>
            <family val="2"/>
          </rPr>
          <t>Informar o percentual de ISS, de acordo com a legislação tributária do município onde serão prestados os serviços. De 2% até o limite de 5%.</t>
        </r>
        <r>
          <rPr>
            <b/>
            <sz val="9"/>
            <color rgb="FF000000"/>
            <rFont val="Arial"/>
            <family val="2"/>
          </rPr>
          <t xml:space="preserve">
</t>
        </r>
      </text>
    </comment>
    <comment ref="E16" authorId="0" shapeId="0" xr:uid="{00000000-0006-0000-0500-000006000000}">
      <text>
        <r>
          <rPr>
            <b/>
            <sz val="9"/>
            <color rgb="FF000000"/>
            <rFont val="Arial"/>
            <family val="2"/>
          </rPr>
          <t>Informar a média de dias úteis entre data de pagamento prevista no contrato e a data final do período de adimplemento da parcela</t>
        </r>
        <r>
          <rPr>
            <b/>
            <sz val="9"/>
            <color rgb="FF000000"/>
            <rFont val="Arial"/>
            <family val="2"/>
          </rPr>
          <t xml:space="preserve">
</t>
        </r>
      </text>
    </comment>
    <comment ref="C17" authorId="0" shapeId="0" xr:uid="{00000000-0006-0000-0500-000007000000}">
      <text>
        <r>
          <rPr>
            <sz val="10"/>
            <color rgb="FF000000"/>
            <rFont val="Arial"/>
            <family val="2"/>
          </rPr>
          <t xml:space="preserve">Informar o valor estimado de PIS/COFINS.
</t>
        </r>
        <r>
          <rPr>
            <sz val="9"/>
            <color rgb="FF000000"/>
            <rFont val="Arial"/>
            <family val="2"/>
          </rPr>
          <t>1. Adotar 0,65% PIS + 3% COFINS quando o valor anual estimado do contrato for inferior ao limite para tributação pelo regime de incidência não-cumulativa (lucro presumido);</t>
        </r>
        <r>
          <rPr>
            <sz val="9"/>
            <color rgb="FF000000"/>
            <rFont val="Arial"/>
            <family val="2"/>
          </rPr>
          <t xml:space="preserve">
2. Adotar 1,65% PIS + 7,6% COFINS quando o valor anual estimado do contrato for superior ao limite para tributação pelo regime de incidência não-cumulativa (lucro real);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cbridi</author>
    <author>Clauber Bridi</author>
    <author>Omar</author>
  </authors>
  <commentList>
    <comment ref="C12" authorId="0" shapeId="0" xr:uid="{45A1419F-E0B0-4234-A656-BA691C015ACC}">
      <text>
        <r>
          <rPr>
            <sz val="8"/>
            <color indexed="81"/>
            <rFont val="Tahoma"/>
            <family val="2"/>
          </rPr>
          <t>Informar a população do município a ser atendida</t>
        </r>
      </text>
    </comment>
    <comment ref="C13" authorId="1" shapeId="0" xr:uid="{29C5DE05-068A-4F46-B795-B21556018138}">
      <text>
        <r>
          <rPr>
            <b/>
            <sz val="9"/>
            <color indexed="81"/>
            <rFont val="Tahoma"/>
            <family val="2"/>
          </rPr>
          <t>Caso o município possua informações de pesagem, ajustar com o valor da geração média per capita realizada nos últimos 12 meses</t>
        </r>
      </text>
    </comment>
    <comment ref="C14" authorId="2" shapeId="0" xr:uid="{049E6110-A863-42AA-B370-AA853638CF2D}">
      <text>
        <r>
          <rPr>
            <sz val="9"/>
            <color indexed="81"/>
            <rFont val="Tahoma"/>
            <family val="2"/>
          </rPr>
          <t>retorna a geração diária a ser recolhida</t>
        </r>
      </text>
    </comment>
    <comment ref="C16" authorId="0" shapeId="0" xr:uid="{60179667-D23F-4742-B80B-2B72A4CB8E3C}">
      <text>
        <r>
          <rPr>
            <b/>
            <sz val="8"/>
            <color indexed="81"/>
            <rFont val="Tahoma"/>
            <family val="2"/>
          </rPr>
          <t>Informe o número de dias de coleta por semana</t>
        </r>
      </text>
    </comment>
    <comment ref="C19" authorId="0" shapeId="0" xr:uid="{CB738A6F-942F-4024-86F6-38D12EE3DB13}">
      <text>
        <r>
          <rPr>
            <sz val="8"/>
            <color indexed="81"/>
            <rFont val="Tahoma"/>
            <family val="2"/>
          </rPr>
          <t>Informar 1 para caminhão toco; Informar 2 para caminhão truck</t>
        </r>
        <r>
          <rPr>
            <b/>
            <sz val="8"/>
            <color indexed="81"/>
            <rFont val="Tahoma"/>
            <family val="2"/>
          </rPr>
          <t xml:space="preserve"> </t>
        </r>
      </text>
    </comment>
    <comment ref="C20" authorId="0" shapeId="0" xr:uid="{51FDE4F8-3AE2-4263-97E5-E7665A43B10E}">
      <text>
        <r>
          <rPr>
            <sz val="8"/>
            <color indexed="81"/>
            <rFont val="Tahoma"/>
            <family val="2"/>
          </rPr>
          <t>Informar a capacidade do compactador em m³</t>
        </r>
      </text>
    </comment>
    <comment ref="C23" authorId="1" shapeId="0" xr:uid="{007D965F-0382-4A15-9E52-E4844E8B284F}">
      <text>
        <r>
          <rPr>
            <sz val="8"/>
            <color indexed="81"/>
            <rFont val="Tahoma"/>
            <family val="2"/>
          </rPr>
          <t xml:space="preserve">Informar o número de percursos de coleta (cargas) que cada caminhão realiza por dia, considerando todos os turnos de trabalho. 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cbridi</author>
    <author>Clauber Bridi</author>
    <author>Omar</author>
  </authors>
  <commentList>
    <comment ref="C12" authorId="0" shapeId="0" xr:uid="{9A610982-19B9-4D78-AEC0-B0824A7D48C2}">
      <text>
        <r>
          <rPr>
            <sz val="8"/>
            <color indexed="81"/>
            <rFont val="Tahoma"/>
            <family val="2"/>
          </rPr>
          <t>Informar a população do município a ser atendida</t>
        </r>
      </text>
    </comment>
    <comment ref="C13" authorId="1" shapeId="0" xr:uid="{5300C26A-D465-4B49-86F0-6525927A0D62}">
      <text>
        <r>
          <rPr>
            <b/>
            <sz val="9"/>
            <color indexed="81"/>
            <rFont val="Tahoma"/>
            <family val="2"/>
          </rPr>
          <t>Caso o município possua informações de pesagem, ajustar com o valor da geração média per capita realizada nos últimos 12 meses</t>
        </r>
      </text>
    </comment>
    <comment ref="C14" authorId="2" shapeId="0" xr:uid="{1DA58EE0-BE33-4D76-AD35-CEB8FBF24288}">
      <text>
        <r>
          <rPr>
            <sz val="9"/>
            <color indexed="81"/>
            <rFont val="Tahoma"/>
            <family val="2"/>
          </rPr>
          <t>retorna a geração diária a ser recolhida</t>
        </r>
      </text>
    </comment>
    <comment ref="C16" authorId="0" shapeId="0" xr:uid="{C199C660-1A56-4504-8DC2-B54CEDAF8641}">
      <text>
        <r>
          <rPr>
            <b/>
            <sz val="8"/>
            <color indexed="81"/>
            <rFont val="Tahoma"/>
            <family val="2"/>
          </rPr>
          <t>Informe o número de dias de coleta por semana</t>
        </r>
      </text>
    </comment>
    <comment ref="C19" authorId="0" shapeId="0" xr:uid="{14FAFEDF-D250-449E-9DA0-347575180309}">
      <text>
        <r>
          <rPr>
            <sz val="8"/>
            <color indexed="81"/>
            <rFont val="Tahoma"/>
            <family val="2"/>
          </rPr>
          <t>Informar 1 para caminhão toco; Informar 2 para caminhão truck</t>
        </r>
        <r>
          <rPr>
            <b/>
            <sz val="8"/>
            <color indexed="81"/>
            <rFont val="Tahoma"/>
            <family val="2"/>
          </rPr>
          <t xml:space="preserve"> </t>
        </r>
      </text>
    </comment>
    <comment ref="C20" authorId="0" shapeId="0" xr:uid="{4F7D8DAA-004E-47E4-91E8-3038CA9C5B2C}">
      <text>
        <r>
          <rPr>
            <sz val="8"/>
            <color indexed="81"/>
            <rFont val="Tahoma"/>
            <family val="2"/>
          </rPr>
          <t>Informar a capacidade do compactador em m³</t>
        </r>
      </text>
    </comment>
    <comment ref="C23" authorId="1" shapeId="0" xr:uid="{EBF8C17F-13F9-4409-8669-80FC29B5325E}">
      <text>
        <r>
          <rPr>
            <sz val="8"/>
            <color indexed="81"/>
            <rFont val="Tahoma"/>
            <family val="2"/>
          </rPr>
          <t xml:space="preserve">Informar o número de percursos de coleta (cargas) que cada caminhão realiza por dia, considerando todos os turnos de trabalho. 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cbridi</author>
    <author>Clauber Bridi</author>
    <author>Omar</author>
  </authors>
  <commentList>
    <comment ref="C12" authorId="0" shapeId="0" xr:uid="{B0A4A950-FD93-4EE8-82F6-FDA692BF8BFB}">
      <text>
        <r>
          <rPr>
            <sz val="8"/>
            <color indexed="81"/>
            <rFont val="Tahoma"/>
            <family val="2"/>
          </rPr>
          <t>Informar a população do município a ser atendida</t>
        </r>
      </text>
    </comment>
    <comment ref="C13" authorId="1" shapeId="0" xr:uid="{8FB77CB4-7859-401F-A2B3-46EDDC0D602C}">
      <text>
        <r>
          <rPr>
            <b/>
            <sz val="9"/>
            <color indexed="81"/>
            <rFont val="Tahoma"/>
            <family val="2"/>
          </rPr>
          <t>Caso o município possua informações de pesagem, ajustar com o valor da geração média per capita realizada nos últimos 12 meses</t>
        </r>
      </text>
    </comment>
    <comment ref="C14" authorId="2" shapeId="0" xr:uid="{EA705D3F-D02B-4527-A6DE-401A71355D27}">
      <text>
        <r>
          <rPr>
            <sz val="9"/>
            <color indexed="81"/>
            <rFont val="Tahoma"/>
            <family val="2"/>
          </rPr>
          <t>retorna a geração diária a ser recolhida</t>
        </r>
      </text>
    </comment>
    <comment ref="C16" authorId="0" shapeId="0" xr:uid="{0CE2B574-752F-47DA-ABDE-CC5665F43902}">
      <text>
        <r>
          <rPr>
            <b/>
            <sz val="8"/>
            <color indexed="81"/>
            <rFont val="Tahoma"/>
            <family val="2"/>
          </rPr>
          <t>Informe o número de dias de coleta por semana</t>
        </r>
      </text>
    </comment>
    <comment ref="C19" authorId="0" shapeId="0" xr:uid="{B997BDB4-D5D8-4108-8148-156FFB70C9F4}">
      <text>
        <r>
          <rPr>
            <sz val="8"/>
            <color indexed="81"/>
            <rFont val="Tahoma"/>
            <family val="2"/>
          </rPr>
          <t>Informar 1 para caminhão toco; Informar 2 para caminhão truck</t>
        </r>
        <r>
          <rPr>
            <b/>
            <sz val="8"/>
            <color indexed="81"/>
            <rFont val="Tahoma"/>
            <family val="2"/>
          </rPr>
          <t xml:space="preserve"> </t>
        </r>
      </text>
    </comment>
    <comment ref="C20" authorId="0" shapeId="0" xr:uid="{9B2C8DCE-095B-4122-B115-1C3E80B172F8}">
      <text>
        <r>
          <rPr>
            <sz val="8"/>
            <color indexed="81"/>
            <rFont val="Tahoma"/>
            <family val="2"/>
          </rPr>
          <t>Informar a capacidade do compactador em m³</t>
        </r>
      </text>
    </comment>
    <comment ref="C23" authorId="1" shapeId="0" xr:uid="{785A5B33-8BF7-4F83-8F70-1453E8DA5EEF}">
      <text>
        <r>
          <rPr>
            <sz val="8"/>
            <color indexed="81"/>
            <rFont val="Tahoma"/>
            <family val="2"/>
          </rPr>
          <t xml:space="preserve">Informar o número de percursos de coleta (cargas) que cada caminhão realiza por dia, considerando todos os turnos de trabalho. </t>
        </r>
      </text>
    </comment>
  </commentList>
</comments>
</file>

<file path=xl/sharedStrings.xml><?xml version="1.0" encoding="utf-8"?>
<sst xmlns="http://schemas.openxmlformats.org/spreadsheetml/2006/main" count="1645" uniqueCount="399">
  <si>
    <t xml:space="preserve">   </t>
  </si>
  <si>
    <t>Orçamento Sintético</t>
  </si>
  <si>
    <t>Descrição do Item</t>
  </si>
  <si>
    <t>Custo (R$/mês)</t>
  </si>
  <si>
    <t>%</t>
  </si>
  <si>
    <t>3.2. Veículo de Apoio (Pequeno Porte)</t>
  </si>
  <si>
    <t>3.2.1. Depreciação</t>
  </si>
  <si>
    <t>3.2.2. Remuneração do Capital</t>
  </si>
  <si>
    <t>3.2.3. Impostos e Seguros</t>
  </si>
  <si>
    <t>3.2.4. Consumos</t>
  </si>
  <si>
    <t>3.2.5. Manutenção</t>
  </si>
  <si>
    <t>3.2.6. Pneus</t>
  </si>
  <si>
    <t>PREÇO TOTAL MENSAL COM A COLETA</t>
  </si>
  <si>
    <t>Quantitativos</t>
  </si>
  <si>
    <t>Mão-de-obra</t>
  </si>
  <si>
    <t>Quantidade</t>
  </si>
  <si>
    <t>Total de mão-de-obra (postos de trabalho)</t>
  </si>
  <si>
    <t>Veículos e Equipamentos</t>
  </si>
  <si>
    <t>3.3 Veículo de Apoio (Pequeno Porte – Caminhonete)</t>
  </si>
  <si>
    <t>Fator de utilização (FU)</t>
  </si>
  <si>
    <t>1. Mão-de-obra</t>
  </si>
  <si>
    <t>1.1. Coletor Turno Dia</t>
  </si>
  <si>
    <t>Discriminação</t>
  </si>
  <si>
    <t>Unidade</t>
  </si>
  <si>
    <t>Custo unitário</t>
  </si>
  <si>
    <t>Subtotal</t>
  </si>
  <si>
    <r>
      <rPr>
        <b/>
        <sz val="9"/>
        <color rgb="FF000000"/>
        <rFont val="Arial"/>
        <family val="2"/>
      </rPr>
      <t xml:space="preserve">Total </t>
    </r>
    <r>
      <rPr>
        <b/>
        <u/>
        <sz val="9"/>
        <color rgb="FF000000"/>
        <rFont val="Arial"/>
        <family val="2"/>
      </rPr>
      <t>(R$)</t>
    </r>
  </si>
  <si>
    <t>Piso da categoria</t>
  </si>
  <si>
    <t>mês</t>
  </si>
  <si>
    <t>Horas Extras (100%)</t>
  </si>
  <si>
    <t>hora</t>
  </si>
  <si>
    <t>Excluir esta linha caso a contratação não tenha previsão de horas extras 100% explícita no edital</t>
  </si>
  <si>
    <t>Horas Extras (50%)</t>
  </si>
  <si>
    <t>Excluir esta linha caso a contratação não tenha previsão de horas extras 50% explícita no edital</t>
  </si>
  <si>
    <t>Descanso Semanal Remunerado (DSR) - hora extra</t>
  </si>
  <si>
    <t>R$</t>
  </si>
  <si>
    <t>Excluir esta linha caso a contratação não tenha previsão de horas extras explícita no edital</t>
  </si>
  <si>
    <t>Adicional de Insalubridade</t>
  </si>
  <si>
    <t>Soma</t>
  </si>
  <si>
    <t>Encargos Sociais</t>
  </si>
  <si>
    <t>Total por Coletor</t>
  </si>
  <si>
    <t>Total do Efetivo</t>
  </si>
  <si>
    <t>homem</t>
  </si>
  <si>
    <t>Fator de utilização</t>
  </si>
  <si>
    <t>Adicional Noturno</t>
  </si>
  <si>
    <t>horas trabalhadas</t>
  </si>
  <si>
    <t>hora contabilizada</t>
  </si>
  <si>
    <t>Piso da categoria (2)</t>
  </si>
  <si>
    <t>Salário mínimo nacional (1)</t>
  </si>
  <si>
    <t>Base de cálculo da Insalubridade</t>
  </si>
  <si>
    <t>Total por Motorista</t>
  </si>
  <si>
    <t>Total por Supervisor/Encarregado</t>
  </si>
  <si>
    <t>Vale Transporte</t>
  </si>
  <si>
    <t>Dias Trabalhados por mês</t>
  </si>
  <si>
    <t>dia</t>
  </si>
  <si>
    <t>Coletor</t>
  </si>
  <si>
    <t>vale</t>
  </si>
  <si>
    <t>Motorista</t>
  </si>
  <si>
    <t>Supervisor de Coleta</t>
  </si>
  <si>
    <t>unidade</t>
  </si>
  <si>
    <t>Custo Mensal com Mão-de-obra (R$/mês)</t>
  </si>
  <si>
    <t>2. Uniformes e Equipamentos de Proteção Individual</t>
  </si>
  <si>
    <t>2.1. Uniformes e EPIs para Coletor e Supervisor</t>
  </si>
  <si>
    <t>Durabilidade (meses)</t>
  </si>
  <si>
    <t>Calça</t>
  </si>
  <si>
    <t>Camiseta</t>
  </si>
  <si>
    <t>Boné</t>
  </si>
  <si>
    <t>Botina de segurança c/ palmilha aço</t>
  </si>
  <si>
    <t>par</t>
  </si>
  <si>
    <t>Meia de algodão com cano alto</t>
  </si>
  <si>
    <t>Capa de chuva amarela com reflexivo</t>
  </si>
  <si>
    <t>Colete reflexivo</t>
  </si>
  <si>
    <t>Luva de proteção</t>
  </si>
  <si>
    <t>Protetor solar FPS 30</t>
  </si>
  <si>
    <t>frasco 120g</t>
  </si>
  <si>
    <t>Higienização de uniformes e EPIs</t>
  </si>
  <si>
    <t>R$ mensal</t>
  </si>
  <si>
    <t>2.2. Uniformes e EPIs para Motorista</t>
  </si>
  <si>
    <t>Custo Mensal com Uniformes e EPIs (R$/mês)</t>
  </si>
  <si>
    <t>3. Veículos e Equipamentos</t>
  </si>
  <si>
    <t>3.1.1. Depreciação</t>
  </si>
  <si>
    <t>Custo de aquisição do chassis</t>
  </si>
  <si>
    <t>Vida útil do chassis</t>
  </si>
  <si>
    <t>anos</t>
  </si>
  <si>
    <t>Idade do veículo</t>
  </si>
  <si>
    <t>Depreciação do chassis</t>
  </si>
  <si>
    <t>Depreciação mensal veículos coletores</t>
  </si>
  <si>
    <t>Custo de aquisição do compactador</t>
  </si>
  <si>
    <t>Vida útil do compactador</t>
  </si>
  <si>
    <t>Idade do compactador</t>
  </si>
  <si>
    <t>Depreciação do compactador</t>
  </si>
  <si>
    <t>Depreciação mensal do compactador</t>
  </si>
  <si>
    <t>Total por veículo</t>
  </si>
  <si>
    <t>Total da frota</t>
  </si>
  <si>
    <t>Obs.: Fator de utilização 1,10 contabilizando o caminhão reserva para acréscimo de valor, por meio de recomendação do TCE.</t>
  </si>
  <si>
    <t>3.1.2. Remuneração do Capital</t>
  </si>
  <si>
    <t>Custo do chassis</t>
  </si>
  <si>
    <t>Taxa de juros anual nominal</t>
  </si>
  <si>
    <t>Valor do veículo proposto (V0)</t>
  </si>
  <si>
    <t>Investimento médio total do chassis</t>
  </si>
  <si>
    <t>Remuneração mensal de capital do chassis</t>
  </si>
  <si>
    <t>Custo do compactador</t>
  </si>
  <si>
    <t>Valor do compactador proposto (V0)</t>
  </si>
  <si>
    <t>Investimento médio total do compactador</t>
  </si>
  <si>
    <t>Remuneração mensal de capital do compactador</t>
  </si>
  <si>
    <t>3.1.3. Impostos e Seguros</t>
  </si>
  <si>
    <t>IPVA</t>
  </si>
  <si>
    <t>Licenciamento e Seguro obrigatório</t>
  </si>
  <si>
    <t>Seguro contra terceiros</t>
  </si>
  <si>
    <t>Impostos e seguros mensais</t>
  </si>
  <si>
    <t>3.1.4. Consumos</t>
  </si>
  <si>
    <t>Quilometragem mensal</t>
  </si>
  <si>
    <t>Consumo</t>
  </si>
  <si>
    <t>Custo de óleo diesel S10 / km rodado</t>
  </si>
  <si>
    <t>km/l</t>
  </si>
  <si>
    <t>Custo mensal com óleo diesel S10</t>
  </si>
  <si>
    <t>km</t>
  </si>
  <si>
    <t>Custo de óleo do motor /1.000 km rodados</t>
  </si>
  <si>
    <t>l/1.000 km</t>
  </si>
  <si>
    <t>Custo mensal com óleo do motor</t>
  </si>
  <si>
    <t>Custo de óleo da transmissão /1.000 km</t>
  </si>
  <si>
    <t>Custo mensal com óleo da transmissão</t>
  </si>
  <si>
    <t>Custo de óleo hidráulico / 1.000 km</t>
  </si>
  <si>
    <t>Custo mensal com óleo hidráulico</t>
  </si>
  <si>
    <t>Custo de graxa /1.000 km rodados</t>
  </si>
  <si>
    <t>kg/1.000 km</t>
  </si>
  <si>
    <t>Custo mensal com graxa</t>
  </si>
  <si>
    <t>Custo com consumos/km rodado</t>
  </si>
  <si>
    <t>R$/km rodado</t>
  </si>
  <si>
    <t>3.1.5. Manutenção</t>
  </si>
  <si>
    <t>Custo de manutenção dos caminhões</t>
  </si>
  <si>
    <t>3.1.6. Pneus</t>
  </si>
  <si>
    <t>Custo do jogo de pneus 275/80 R22.5</t>
  </si>
  <si>
    <t>Número de recapagens por pneu</t>
  </si>
  <si>
    <t>Custo de recapagem</t>
  </si>
  <si>
    <r>
      <rPr>
        <sz val="10"/>
        <color rgb="FF000000"/>
        <rFont val="Arial"/>
        <family val="2"/>
      </rPr>
      <t xml:space="preserve">Custo jg. compl. + </t>
    </r>
    <r>
      <rPr>
        <sz val="10"/>
        <color rgb="FF000000"/>
        <rFont val="Arial"/>
        <family val="2"/>
      </rPr>
      <t>1</t>
    </r>
    <r>
      <rPr>
        <sz val="10"/>
        <color rgb="FF000000"/>
        <rFont val="Arial"/>
        <family val="2"/>
      </rPr>
      <t xml:space="preserve"> recap./ km rodado</t>
    </r>
  </si>
  <si>
    <t>km/jogo</t>
  </si>
  <si>
    <t>Custo mensal com pneus</t>
  </si>
  <si>
    <t>Custo de gasolina / km rodado</t>
  </si>
  <si>
    <t>Custo mensal com gasolina</t>
  </si>
  <si>
    <t>Custo de manutenção do Veículo Pequeno Porte</t>
  </si>
  <si>
    <t>Custo do jogo de pneus 175/70 R14</t>
  </si>
  <si>
    <t>Custo jg. compl.</t>
  </si>
  <si>
    <t>Custo Mensal com Veículos e Equipamentos (R$/mês)</t>
  </si>
  <si>
    <t>4. Ferramentas e Materiais de Consumo</t>
  </si>
  <si>
    <t>Recipiente térmico para água (5L)</t>
  </si>
  <si>
    <t>Pá de Concha</t>
  </si>
  <si>
    <t>Vassoura</t>
  </si>
  <si>
    <t>Publicidade (adesivos equipamentos)</t>
  </si>
  <si>
    <t>cj</t>
  </si>
  <si>
    <t>Publicidade (adesivos veículos)</t>
  </si>
  <si>
    <t>Custo Mensal com Ferramentas e Materiais de Consumo (R$/mês)</t>
  </si>
  <si>
    <t>5. Monitoramento da Frota</t>
  </si>
  <si>
    <t>Implantação dos equipamentos de monitoramento</t>
  </si>
  <si>
    <t>Custo mensal com implantação</t>
  </si>
  <si>
    <t>Manutenção dos equipamentos de monitoramento</t>
  </si>
  <si>
    <t>Custo mensal com manutenção</t>
  </si>
  <si>
    <t>Custo Mensal com Monitoramento da Frota (R$/mês)</t>
  </si>
  <si>
    <t>CUSTO TOTAL MENSAL COM DESPESAS OPERACIONAIS (R$/mês)</t>
  </si>
  <si>
    <t>6. Benefícios e Despesas Indiretas - BDI</t>
  </si>
  <si>
    <t>Benefícios e despesas indiretas</t>
  </si>
  <si>
    <t>CUSTO MENSAL COM BDI (R$/mês)</t>
  </si>
  <si>
    <t>PREÇO MENSAL TOTAL (R$/mês)</t>
  </si>
  <si>
    <r>
      <rPr>
        <b/>
        <sz val="10"/>
        <color rgb="FF000000"/>
        <rFont val="Arial"/>
        <family val="2"/>
      </rPr>
      <t>Obs.:</t>
    </r>
    <r>
      <rPr>
        <i/>
        <sz val="10"/>
        <color rgb="FF000000"/>
        <rFont val="Arial1"/>
      </rPr>
      <t xml:space="preserve"> Auxílio Alimentação para o Coletor com valor não inferior a R$ 20,18 (conforme Convenção Coletiva) * 26 dias trabalhados</t>
    </r>
  </si>
  <si>
    <t>2. Composição dos Encargos Sociais</t>
  </si>
  <si>
    <t>Código</t>
  </si>
  <si>
    <t>Descrição</t>
  </si>
  <si>
    <t>Valor</t>
  </si>
  <si>
    <t>A1</t>
  </si>
  <si>
    <t>INSS</t>
  </si>
  <si>
    <t>A2</t>
  </si>
  <si>
    <t>SESI</t>
  </si>
  <si>
    <t>A3</t>
  </si>
  <si>
    <t>SENAI</t>
  </si>
  <si>
    <t>A4</t>
  </si>
  <si>
    <t>INCRA</t>
  </si>
  <si>
    <t>A5</t>
  </si>
  <si>
    <t>SEBRAE</t>
  </si>
  <si>
    <t>A6</t>
  </si>
  <si>
    <t>Salário educação</t>
  </si>
  <si>
    <t>A7</t>
  </si>
  <si>
    <t>Seguro contra acidentes de trabalho</t>
  </si>
  <si>
    <t>A8</t>
  </si>
  <si>
    <t>FGTS</t>
  </si>
  <si>
    <t>A</t>
  </si>
  <si>
    <t>SOMA GRUPO A</t>
  </si>
  <si>
    <t>B1</t>
  </si>
  <si>
    <t>Férias gozadas</t>
  </si>
  <si>
    <t>B2</t>
  </si>
  <si>
    <t>13º salário</t>
  </si>
  <si>
    <t>B3</t>
  </si>
  <si>
    <t>Licença Paternidade</t>
  </si>
  <si>
    <t>B4</t>
  </si>
  <si>
    <t>Faltas justificadas</t>
  </si>
  <si>
    <t>B5</t>
  </si>
  <si>
    <t>Auxilio acidente de trabalho</t>
  </si>
  <si>
    <t>B6</t>
  </si>
  <si>
    <t>Auxilio doença</t>
  </si>
  <si>
    <t>B</t>
  </si>
  <si>
    <t>SOMA GRUPO B</t>
  </si>
  <si>
    <t>C1</t>
  </si>
  <si>
    <t>Aviso prévio indenizado</t>
  </si>
  <si>
    <t>C2</t>
  </si>
  <si>
    <t>Férias indenizadas</t>
  </si>
  <si>
    <t>C3</t>
  </si>
  <si>
    <t>Férias indenizadas s/ aviso previo inden.</t>
  </si>
  <si>
    <t>C4</t>
  </si>
  <si>
    <t>Depósito rescisão sem justa causa</t>
  </si>
  <si>
    <t>C5</t>
  </si>
  <si>
    <t>Indenização adicional</t>
  </si>
  <si>
    <t>C</t>
  </si>
  <si>
    <t>SOMA GRUPO C</t>
  </si>
  <si>
    <t>D1</t>
  </si>
  <si>
    <t>Reincidência de Grupo A sobre Grupo B</t>
  </si>
  <si>
    <t>D2</t>
  </si>
  <si>
    <t>Reincidência de FGTS sobre aviso prévio indenizado</t>
  </si>
  <si>
    <t>D</t>
  </si>
  <si>
    <t>SOMA GRUPO D</t>
  </si>
  <si>
    <t>SOMA (A+B+C+D)</t>
  </si>
  <si>
    <t>3. CAGED</t>
  </si>
  <si>
    <t>Rio Grande do Sul  - Coleta de Resíduos Não-Perigosos - CNAE 38114</t>
  </si>
  <si>
    <t>Admissões</t>
  </si>
  <si>
    <t>Desligamentos</t>
  </si>
  <si>
    <t>Dispensados com justa causa</t>
  </si>
  <si>
    <t>Dispensados sem justa causa</t>
  </si>
  <si>
    <t>Espontâneos</t>
  </si>
  <si>
    <t>Fim de contrato por prazo determinado</t>
  </si>
  <si>
    <t>Término de contrato</t>
  </si>
  <si>
    <t>Aposentados</t>
  </si>
  <si>
    <t>Mortos</t>
  </si>
  <si>
    <t>Transferência de saída</t>
  </si>
  <si>
    <t>Acordo</t>
  </si>
  <si>
    <t xml:space="preserve"> </t>
  </si>
  <si>
    <t>Indicadores</t>
  </si>
  <si>
    <t>Estoque recuperado início do Período 01-01-2019</t>
  </si>
  <si>
    <t>Estoque recuperado final do Período 31-12-2019</t>
  </si>
  <si>
    <t>Variação Emprego Absoluta de 01-01-2019 a 31-12-2019</t>
  </si>
  <si>
    <t>Estoque Médio</t>
  </si>
  <si>
    <t>% Demitidos s/ Justa Causa em relação ao Estoque Médio</t>
  </si>
  <si>
    <t>Taxa de Rotatividade</t>
  </si>
  <si>
    <t>Rotatividade temporal (meses)</t>
  </si>
  <si>
    <t>Dias ano</t>
  </si>
  <si>
    <t>1/3 de férias (dias)</t>
  </si>
  <si>
    <t>Férias (dias)</t>
  </si>
  <si>
    <t>13º Salário (dias)</t>
  </si>
  <si>
    <t>Dias de Aviso prévio</t>
  </si>
  <si>
    <t>Multa FGTS</t>
  </si>
  <si>
    <t>Ajustado, de acordo com a nova Lei Federal nº 13.932/2019</t>
  </si>
  <si>
    <t>4. Composição do BDI - Benefícios e Despesas Indiretas</t>
  </si>
  <si>
    <t>Referência estudo TCE</t>
  </si>
  <si>
    <t>1° Quartil</t>
  </si>
  <si>
    <t>Médio</t>
  </si>
  <si>
    <t>3° Quartil</t>
  </si>
  <si>
    <t>Administração Central</t>
  </si>
  <si>
    <t>AC</t>
  </si>
  <si>
    <t>Seguros/Riscos/Garantias</t>
  </si>
  <si>
    <t>SRG</t>
  </si>
  <si>
    <t>Lucro</t>
  </si>
  <si>
    <t>L</t>
  </si>
  <si>
    <t>Despesas Financeiras</t>
  </si>
  <si>
    <t>DF</t>
  </si>
  <si>
    <t>i</t>
  </si>
  <si>
    <t>Tributos - ISS</t>
  </si>
  <si>
    <t>T</t>
  </si>
  <si>
    <t>DU</t>
  </si>
  <si>
    <t>Tributos - PIS/COFINS</t>
  </si>
  <si>
    <t>Fórmula para o cálculo do BDI:</t>
  </si>
  <si>
    <t>{[(1+AC+SRG) x (1+L) x (1+DF)] / (1-T)} -1</t>
  </si>
  <si>
    <t>Resultado do cálculo do BDI:</t>
  </si>
  <si>
    <t>5. Depreciação Referencial TCE/RS (%)</t>
  </si>
  <si>
    <t>Idade do veículo (ano)</t>
  </si>
  <si>
    <t>Depreciação Média</t>
  </si>
  <si>
    <t>6. Remuneração de Capital</t>
  </si>
  <si>
    <t>Fórmula de cálculo da remuneração de capital:</t>
  </si>
  <si>
    <r>
      <rPr>
        <sz val="12"/>
        <color rgb="FF000000"/>
        <rFont val="Arial"/>
        <family val="2"/>
      </rPr>
      <t>J</t>
    </r>
    <r>
      <rPr>
        <vertAlign val="subscript"/>
        <sz val="12"/>
        <color rgb="FF000000"/>
        <rFont val="Arial"/>
        <family val="2"/>
      </rPr>
      <t>m</t>
    </r>
    <r>
      <rPr>
        <sz val="12"/>
        <color rgb="FF000000"/>
        <rFont val="Arial"/>
        <family val="2"/>
      </rPr>
      <t xml:space="preserve"> = remuneração de capital mensal</t>
    </r>
  </si>
  <si>
    <t>i = taxa de juros do mercado (sugere-se adotar a taxa SELIC)</t>
  </si>
  <si>
    <t>Im = investimento médio</t>
  </si>
  <si>
    <r>
      <rPr>
        <sz val="12"/>
        <color rgb="FF000000"/>
        <rFont val="Arial"/>
        <family val="2"/>
      </rPr>
      <t>V</t>
    </r>
    <r>
      <rPr>
        <vertAlign val="subscript"/>
        <sz val="12"/>
        <color rgb="FF000000"/>
        <rFont val="Arial"/>
        <family val="2"/>
      </rPr>
      <t>0</t>
    </r>
    <r>
      <rPr>
        <sz val="12"/>
        <color rgb="FF000000"/>
        <rFont val="Arial"/>
        <family val="2"/>
      </rPr>
      <t xml:space="preserve"> = valor inicial do bem</t>
    </r>
  </si>
  <si>
    <r>
      <rPr>
        <sz val="12"/>
        <color rgb="FF000000"/>
        <rFont val="Arial"/>
        <family val="2"/>
      </rPr>
      <t>V</t>
    </r>
    <r>
      <rPr>
        <vertAlign val="subscript"/>
        <sz val="12"/>
        <color rgb="FF000000"/>
        <rFont val="Arial"/>
        <family val="2"/>
      </rPr>
      <t>r</t>
    </r>
    <r>
      <rPr>
        <sz val="12"/>
        <color rgb="FF000000"/>
        <rFont val="Arial"/>
        <family val="2"/>
      </rPr>
      <t xml:space="preserve"> = valor residual do bem</t>
    </r>
  </si>
  <si>
    <t>n = vida útil do bem em anos</t>
  </si>
  <si>
    <r>
      <rPr>
        <b/>
        <sz val="10"/>
        <color rgb="FF000000"/>
        <rFont val="Arial"/>
        <family val="2"/>
      </rPr>
      <t>Obs.:</t>
    </r>
    <r>
      <rPr>
        <i/>
        <sz val="10"/>
        <color rgb="FF000000"/>
        <rFont val="Arial1"/>
      </rPr>
      <t xml:space="preserve"> Auxílio Alimentação para o Coletor com valor não inferior a R$ 20,18 (conforme Convenção Coletiva) * 30 dias trabalhados</t>
    </r>
  </si>
  <si>
    <t>1.2. Motorista Turno do Dia</t>
  </si>
  <si>
    <t>1.3 Supervisor de Coleta</t>
  </si>
  <si>
    <t>1.4. Vale Transporte</t>
  </si>
  <si>
    <t>1.5. Vale-refeição (diário)</t>
  </si>
  <si>
    <t>1.6. Auxílio Alimentação (mensal)</t>
  </si>
  <si>
    <t>1.3. Vale Transporte</t>
  </si>
  <si>
    <t>1.4. Vale-refeição (diário)</t>
  </si>
  <si>
    <t>1.5. Auxílio Alimentação (mensal)</t>
  </si>
  <si>
    <r>
      <t>3.1. Veículo Coletor Baú Basculante</t>
    </r>
    <r>
      <rPr>
        <sz val="10"/>
        <color rgb="FFFF0000"/>
        <rFont val="Arial"/>
        <family val="2"/>
      </rPr>
      <t xml:space="preserve"> 25</t>
    </r>
    <r>
      <rPr>
        <sz val="10"/>
        <color rgb="FF000000"/>
        <rFont val="Arial"/>
        <family val="2"/>
      </rPr>
      <t xml:space="preserve"> m³</t>
    </r>
  </si>
  <si>
    <t>3.2. Veículo Coletor Baú Basculante 25 m³ RESERVA</t>
  </si>
  <si>
    <t>Custo do baú basculante</t>
  </si>
  <si>
    <t>Investimento médio total do bau basculante</t>
  </si>
  <si>
    <t>Remuneração mensal de capital do bau basculante</t>
  </si>
  <si>
    <t>Depreciação mensal veículos bau basculante</t>
  </si>
  <si>
    <t>Custo de aquisição do bau basculante</t>
  </si>
  <si>
    <t>Vida útil do bau basculante</t>
  </si>
  <si>
    <t>Idade do bau basculante</t>
  </si>
  <si>
    <t>Depreciação do bau basculante</t>
  </si>
  <si>
    <t>Depreciação mensal do bau basculante</t>
  </si>
  <si>
    <t>BAIXA TEMPORADA</t>
  </si>
  <si>
    <t>ALTA TEMPORADA</t>
  </si>
  <si>
    <t>SELETIVA</t>
  </si>
  <si>
    <t>ORGANICA</t>
  </si>
  <si>
    <t>DE 01 A 15/12/2025</t>
  </si>
  <si>
    <t>DE 16 A 31/12/2025</t>
  </si>
  <si>
    <t>DE 16 A 31/03/2026</t>
  </si>
  <si>
    <t>DE 01 A 15/03/2026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</si>
  <si>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</si>
  <si>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</si>
  <si>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</si>
  <si>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</si>
  <si>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</si>
  <si>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</si>
  <si>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</si>
  <si>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</si>
  <si>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</si>
  <si>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</si>
  <si>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</si>
  <si>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</si>
  <si>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RSD ALTA</t>
  </si>
  <si>
    <t>RSD BAIXA</t>
  </si>
  <si>
    <t>15 de Dezembro a 31 de dezembro de 2024</t>
  </si>
  <si>
    <t>SOMA</t>
  </si>
  <si>
    <t>SOMA TOTAL</t>
  </si>
  <si>
    <t>Inclui a seletiva</t>
  </si>
  <si>
    <t>Sem a Seletiva</t>
  </si>
  <si>
    <t>Acréscimo de 10% - suprir frota de reserva</t>
  </si>
  <si>
    <t>Quantidade média de resíduos coletados por mês</t>
  </si>
  <si>
    <t>PREÇO POR TONELADA COLETADA: (A / B )</t>
  </si>
  <si>
    <t>R$/tonelada</t>
  </si>
  <si>
    <t>toneladas</t>
  </si>
  <si>
    <t>MÉDIA Mensal</t>
  </si>
  <si>
    <r>
      <t xml:space="preserve">COLETA E TRANSPORTE DE R S D (ORGÂNICO)
</t>
    </r>
    <r>
      <rPr>
        <sz val="16"/>
        <color rgb="FF000000"/>
        <rFont val="Arial"/>
        <family val="2"/>
      </rPr>
      <t>BAIXA TEMPORADA</t>
    </r>
    <r>
      <rPr>
        <b/>
        <sz val="13"/>
        <color rgb="FF000000"/>
        <rFont val="Arial1"/>
      </rPr>
      <t xml:space="preserve">
</t>
    </r>
    <r>
      <rPr>
        <sz val="10"/>
        <color rgb="FF000000"/>
        <rFont val="Arial"/>
        <family val="2"/>
      </rPr>
      <t>Planilha de Composição de Custos - Período: 16 de março a 15 de dezembro de cada ano</t>
    </r>
  </si>
  <si>
    <r>
      <rPr>
        <b/>
        <sz val="14"/>
        <color rgb="FF000000"/>
        <rFont val="Arial1"/>
      </rPr>
      <t>COLETA E TRANSPORTE DE R S D (SELETIVO)</t>
    </r>
    <r>
      <rPr>
        <b/>
        <sz val="13"/>
        <color rgb="FF000000"/>
        <rFont val="Arial1"/>
      </rPr>
      <t xml:space="preserve">
</t>
    </r>
    <r>
      <rPr>
        <sz val="10"/>
        <color rgb="FF000000"/>
        <rFont val="Arial"/>
        <family val="2"/>
      </rPr>
      <t xml:space="preserve">Planilha de Composição de Custos - Período: 01 janeiro a 31 de dezembro de cada ano.
</t>
    </r>
  </si>
  <si>
    <t>PLANILHA RESUMO DOS RSU - COLETA ORGÂNICA</t>
  </si>
  <si>
    <t>MÊS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</si>
  <si>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</si>
  <si>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</si>
  <si>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</si>
  <si>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</si>
  <si>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</si>
  <si>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</si>
  <si>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</si>
  <si>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</si>
  <si>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</si>
  <si>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</si>
  <si>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</si>
  <si>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</si>
  <si>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TOTAL</t>
  </si>
  <si>
    <t>PLANILHA RESUMO DOS RSU - COLETA SELETIVA</t>
  </si>
  <si>
    <t>ANO</t>
  </si>
  <si>
    <t>TONELADAS</t>
  </si>
  <si>
    <t xml:space="preserve">TONELADAS </t>
  </si>
  <si>
    <t>OK</t>
  </si>
  <si>
    <t>BAIXA</t>
  </si>
  <si>
    <t>ALTA</t>
  </si>
  <si>
    <t>Diferença</t>
  </si>
  <si>
    <t xml:space="preserve">      </t>
  </si>
  <si>
    <t>VALOR PARA 1 CAMINHÃO</t>
  </si>
  <si>
    <t>CONSIDERANDO 2 TURNOS DE TRABALHO: DÁS 06:00 ÀS 14:00 E DÁS 14:00 ÀS 22:00</t>
  </si>
  <si>
    <t>06 CAMINHOES; 12 MOTORISTAS; 36 GARIS</t>
  </si>
  <si>
    <t>Jaqueta com reflexivo (NBR 15.292)</t>
  </si>
  <si>
    <t>1.3 Responsável Técnico</t>
  </si>
  <si>
    <t>Responsável Técnico</t>
  </si>
  <si>
    <t>Orientações para preenchimento:</t>
  </si>
  <si>
    <t>1. Esta planilha é somente um modelo de cálculo expedito e deve ser ajustada conforme cada caso concreto.</t>
  </si>
  <si>
    <t>2. Dimensionar separadamente setores atendidos por veículos de capacidade de carga diferentes.</t>
  </si>
  <si>
    <t>3. Preencher somente células em amarelo</t>
  </si>
  <si>
    <t>O TCE/RS não se responsabiliza pelo uso incorreto desta planilha.</t>
  </si>
  <si>
    <t>O orçamento deve ser realizado por responsável técnico habilitado e é de responsabilidade do seu autor.</t>
  </si>
  <si>
    <t>7. Dimensionamento da frota</t>
  </si>
  <si>
    <t>Indicador</t>
  </si>
  <si>
    <t>Unid</t>
  </si>
  <si>
    <t>População (H)</t>
  </si>
  <si>
    <t>hab</t>
  </si>
  <si>
    <t>Geração per capita (G)</t>
  </si>
  <si>
    <t>Kg/hab.dia</t>
  </si>
  <si>
    <t>Geração total diária (Qd)</t>
  </si>
  <si>
    <t>ton/dia</t>
  </si>
  <si>
    <t>Geração Mensal</t>
  </si>
  <si>
    <t>ton</t>
  </si>
  <si>
    <t>Número de dias de coleta por semana (Dc)</t>
  </si>
  <si>
    <t>Quantitativo diário de coleta (Qc)</t>
  </si>
  <si>
    <t>Densidade RSU compactado</t>
  </si>
  <si>
    <t>Kg/m³</t>
  </si>
  <si>
    <t>Tipo de Veículo (1 = toco, 2 = truck)</t>
  </si>
  <si>
    <t>Capacidade do Compactador</t>
  </si>
  <si>
    <t>m³</t>
  </si>
  <si>
    <t>Capacidade nominal de carga (Cc)</t>
  </si>
  <si>
    <t>Número de Cargas por dia (Nc)</t>
  </si>
  <si>
    <t>Número total de percursos de coleta por veículo, por dia (Np)</t>
  </si>
  <si>
    <t>Número de veículos da Frota (F)</t>
  </si>
  <si>
    <r>
      <t xml:space="preserve">COLETA E TRANSPORTE DE R S D (ORGÂNICO)
</t>
    </r>
    <r>
      <rPr>
        <sz val="16"/>
        <color rgb="FF000000"/>
        <rFont val="Arial"/>
        <family val="2"/>
      </rPr>
      <t>ALTA TEMPORADA</t>
    </r>
    <r>
      <rPr>
        <b/>
        <sz val="13"/>
        <color rgb="FF000000"/>
        <rFont val="Arial1"/>
      </rPr>
      <t xml:space="preserve">
</t>
    </r>
    <r>
      <rPr>
        <sz val="10"/>
        <color rgb="FF000000"/>
        <rFont val="Arial"/>
        <family val="2"/>
      </rPr>
      <t>Planilha de Composição de Custos - Período: 16 de dezembro a 15 de março de cada ano</t>
    </r>
  </si>
  <si>
    <t>Media</t>
  </si>
  <si>
    <r>
      <t>3.1. Veículo Coletor Compactador</t>
    </r>
    <r>
      <rPr>
        <sz val="10"/>
        <color rgb="FFFF0000"/>
        <rFont val="Arial"/>
        <family val="2"/>
      </rPr>
      <t xml:space="preserve"> 12</t>
    </r>
    <r>
      <rPr>
        <sz val="10"/>
        <color rgb="FF000000"/>
        <rFont val="Arial"/>
        <family val="2"/>
      </rPr>
      <t xml:space="preserve"> m³</t>
    </r>
  </si>
  <si>
    <t>3.2. Veículo Coletor Compactador 12 m³ RESERVA</t>
  </si>
  <si>
    <t>7. Dimensionamento da frota BAIXA TEMPORADA</t>
  </si>
  <si>
    <t>7. Dimensionamento da frota ALTA TEMPORADA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</si>
</sst>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 &quot;#,##0.00&quot; &quot;;&quot; (&quot;#,##0.00&quot;)&quot;;&quot; -&quot;#&quot; &quot;;&quot; &quot;@&quot; &quot;"/>
    <numFmt numFmtId="165" formatCode="&quot; &quot;#,##0.000&quot; &quot;;&quot; (&quot;#,##0.000&quot;)&quot;;&quot; -&quot;#&quot; &quot;;&quot; &quot;@&quot; &quot;"/>
    <numFmt numFmtId="166" formatCode="&quot; &quot;#,##0&quot; &quot;;&quot; (&quot;#,##0&quot;)&quot;;&quot; -&quot;#&quot; &quot;;&quot; &quot;@&quot; &quot;"/>
    <numFmt numFmtId="167" formatCode="&quot;R$ &quot;#,##0.00"/>
    <numFmt numFmtId="168" formatCode="0.0000"/>
    <numFmt numFmtId="169" formatCode="&quot; &quot;#,##0.00&quot; &quot;;&quot;-&quot;#,##0.00&quot; &quot;;&quot; -&quot;#&quot; &quot;;&quot; &quot;@&quot; &quot;"/>
    <numFmt numFmtId="170" formatCode="&quot;R$ &quot;#,##0.00&quot; &quot;;&quot;(R$ &quot;#,##0.00&quot;)&quot;"/>
    <numFmt numFmtId="171" formatCode="_-* #,##0.000_-;\-* #,##0.000_-;_-* &quot;-&quot;??_-;_-@_-"/>
    <numFmt numFmtId="172" formatCode="_-* #,##0.00_-;\-* #,##0.00_-;_-* &quot;-&quot;?_-;_-@_-"/>
    <numFmt numFmtId="173" formatCode="_-* #,##0_-;\-* #,##0_-;_-* &quot;-&quot;?_-;_-@_-"/>
    <numFmt numFmtId="174" formatCode="0.00000000"/>
  </numFmts>
  <fonts count="53">
    <font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FFFFFF"/>
      <name val="Arial"/>
      <family val="2"/>
    </font>
    <font>
      <sz val="10"/>
      <color rgb="FFCC0000"/>
      <name val="Arial"/>
      <family val="2"/>
    </font>
    <font>
      <b/>
      <sz val="10"/>
      <color rgb="FFFFFFFF"/>
      <name val="Arial"/>
      <family val="2"/>
    </font>
    <font>
      <u/>
      <sz val="10"/>
      <color rgb="FF0000FF"/>
      <name val="Arial1"/>
    </font>
    <font>
      <i/>
      <sz val="10"/>
      <color rgb="FF808080"/>
      <name val="Arial"/>
      <family val="2"/>
    </font>
    <font>
      <sz val="10"/>
      <color rgb="FF006600"/>
      <name val="Arial"/>
      <family val="2"/>
    </font>
    <font>
      <b/>
      <sz val="24"/>
      <color rgb="FF000000"/>
      <name val="Arial"/>
      <family val="2"/>
    </font>
    <font>
      <sz val="18"/>
      <color rgb="FF000000"/>
      <name val="Arial"/>
      <family val="2"/>
    </font>
    <font>
      <sz val="12"/>
      <color rgb="FF000000"/>
      <name val="Arial"/>
      <family val="2"/>
    </font>
    <font>
      <u/>
      <sz val="10"/>
      <color rgb="FF0000EE"/>
      <name val="Arial"/>
      <family val="2"/>
    </font>
    <font>
      <sz val="10"/>
      <color rgb="FF996600"/>
      <name val="Arial"/>
      <family val="2"/>
    </font>
    <font>
      <sz val="10"/>
      <color rgb="FF333333"/>
      <name val="Arial"/>
      <family val="2"/>
    </font>
    <font>
      <b/>
      <i/>
      <u/>
      <sz val="10"/>
      <color rgb="FF000000"/>
      <name val="Arial"/>
      <family val="2"/>
    </font>
    <font>
      <b/>
      <sz val="12"/>
      <color rgb="FF000000"/>
      <name val="Arial1"/>
    </font>
    <font>
      <sz val="10"/>
      <color rgb="FF000000"/>
      <name val="Arial1"/>
    </font>
    <font>
      <b/>
      <sz val="13"/>
      <color rgb="FF000000"/>
      <name val="Arial1"/>
    </font>
    <font>
      <sz val="16"/>
      <color rgb="FF000000"/>
      <name val="Arial"/>
      <family val="2"/>
    </font>
    <font>
      <b/>
      <sz val="10"/>
      <color rgb="FF000000"/>
      <name val="Arial1"/>
    </font>
    <font>
      <b/>
      <sz val="9"/>
      <color rgb="FF000000"/>
      <name val="Arial"/>
      <family val="2"/>
    </font>
    <font>
      <b/>
      <sz val="9"/>
      <color rgb="FF000000"/>
      <name val="Arial1"/>
    </font>
    <font>
      <b/>
      <u/>
      <sz val="9"/>
      <color rgb="FF000000"/>
      <name val="Arial"/>
      <family val="2"/>
    </font>
    <font>
      <sz val="9"/>
      <color rgb="FF000000"/>
      <name val="Arial"/>
      <family val="2"/>
    </font>
    <font>
      <sz val="8"/>
      <color rgb="FF000000"/>
      <name val="Arial1"/>
    </font>
    <font>
      <sz val="10"/>
      <color rgb="FFFF0000"/>
      <name val="Arial1"/>
    </font>
    <font>
      <sz val="10"/>
      <color rgb="FFFF0000"/>
      <name val="Arial"/>
      <family val="2"/>
    </font>
    <font>
      <i/>
      <sz val="10"/>
      <color rgb="FF000000"/>
      <name val="Arial1"/>
    </font>
    <font>
      <u/>
      <sz val="10"/>
      <color rgb="FF000000"/>
      <name val="Arial1"/>
    </font>
    <font>
      <sz val="9"/>
      <color rgb="FF000000"/>
      <name val="Arial1"/>
    </font>
    <font>
      <sz val="11"/>
      <color rgb="FF000000"/>
      <name val="Arial1"/>
    </font>
    <font>
      <b/>
      <sz val="14"/>
      <color rgb="FF000000"/>
      <name val="Arial1"/>
    </font>
    <font>
      <b/>
      <sz val="11"/>
      <color rgb="FF000000"/>
      <name val="Arial1"/>
    </font>
    <font>
      <sz val="13"/>
      <color rgb="FF000000"/>
      <name val="Arial1"/>
    </font>
    <font>
      <sz val="12"/>
      <color rgb="FF000000"/>
      <name val="Arial1"/>
    </font>
    <font>
      <vertAlign val="subscript"/>
      <sz val="12"/>
      <color rgb="FF000000"/>
      <name val="Arial"/>
      <family val="2"/>
    </font>
    <font>
      <i/>
      <sz val="10"/>
      <color rgb="FF000000"/>
      <name val="Arial1"/>
      <family val="2"/>
    </font>
    <font>
      <b/>
      <sz val="12"/>
      <color rgb="FF000000"/>
      <name val="Arial"/>
      <family val="2"/>
    </font>
    <font>
      <b/>
      <sz val="10"/>
      <color rgb="FFFF0000"/>
      <name val="Arial1"/>
    </font>
    <font>
      <sz val="10"/>
      <color theme="1"/>
      <name val="Arial1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color rgb="FFFF0000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sz val="8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8"/>
      <color indexed="81"/>
      <name val="Tahoma"/>
      <family val="2"/>
    </font>
  </fonts>
  <fills count="23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BFBFBF"/>
        <bgColor rgb="FFBFBFBF"/>
      </patternFill>
    </fill>
    <fill>
      <patternFill patternType="solid">
        <fgColor rgb="FFFFFF00"/>
        <bgColor rgb="FFFFFF00"/>
      </patternFill>
    </fill>
    <fill>
      <patternFill patternType="solid">
        <fgColor rgb="FFC0C0C0"/>
        <bgColor rgb="FFC0C0C0"/>
      </patternFill>
    </fill>
    <fill>
      <patternFill patternType="solid">
        <fgColor rgb="FFC6D9F1"/>
        <bgColor rgb="FFC6D9F1"/>
      </patternFill>
    </fill>
    <fill>
      <patternFill patternType="solid">
        <fgColor rgb="FFD9D9D9"/>
        <bgColor rgb="FFD9D9D9"/>
      </patternFill>
    </fill>
    <fill>
      <patternFill patternType="solid">
        <fgColor rgb="FFA6A6A6"/>
        <bgColor rgb="FFA6A6A6"/>
      </patternFill>
    </fill>
    <fill>
      <patternFill patternType="solid">
        <fgColor rgb="FFFFFFFF"/>
        <bgColor rgb="FFFFFFFF"/>
      </patternFill>
    </fill>
    <fill>
      <patternFill patternType="solid">
        <fgColor rgb="FFDDD9C3"/>
        <bgColor rgb="FFDDD9C3"/>
      </patternFill>
    </fill>
    <fill>
      <patternFill patternType="solid">
        <fgColor rgb="FFEEECE1"/>
        <bgColor rgb="FFEEECE1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C0C0C0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</fills>
  <borders count="38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8">
    <xf numFmtId="0" fontId="0" fillId="0" borderId="0"/>
    <xf numFmtId="0" fontId="2" fillId="0" borderId="0" applyNumberFormat="0" applyBorder="0" applyProtection="0"/>
    <xf numFmtId="0" fontId="3" fillId="2" borderId="0" applyNumberFormat="0" applyBorder="0" applyProtection="0"/>
    <xf numFmtId="0" fontId="3" fillId="3" borderId="0" applyNumberFormat="0" applyBorder="0" applyProtection="0"/>
    <xf numFmtId="0" fontId="2" fillId="4" borderId="0" applyNumberFormat="0" applyBorder="0" applyProtection="0"/>
    <xf numFmtId="0" fontId="4" fillId="5" borderId="0" applyNumberFormat="0" applyBorder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Border="0" applyProtection="0"/>
    <xf numFmtId="0" fontId="5" fillId="6" borderId="0" applyNumberFormat="0" applyBorder="0" applyProtection="0"/>
    <xf numFmtId="164" fontId="1" fillId="0" borderId="0" applyFont="0" applyBorder="0" applyProtection="0"/>
    <xf numFmtId="0" fontId="6" fillId="0" borderId="0" applyNumberFormat="0" applyBorder="0" applyProtection="0"/>
    <xf numFmtId="9" fontId="1" fillId="0" borderId="0" applyFont="0" applyBorder="0" applyProtection="0"/>
    <xf numFmtId="0" fontId="7" fillId="0" borderId="0" applyNumberFormat="0" applyBorder="0" applyProtection="0"/>
    <xf numFmtId="0" fontId="8" fillId="7" borderId="0" applyNumberFormat="0" applyBorder="0" applyProtection="0"/>
    <xf numFmtId="0" fontId="9" fillId="0" borderId="0" applyNumberFormat="0" applyBorder="0" applyProtection="0"/>
    <xf numFmtId="0" fontId="10" fillId="0" borderId="0" applyNumberFormat="0" applyBorder="0" applyProtection="0"/>
    <xf numFmtId="0" fontId="11" fillId="0" borderId="0" applyNumberFormat="0" applyBorder="0" applyProtection="0"/>
    <xf numFmtId="0" fontId="12" fillId="0" borderId="0" applyNumberFormat="0" applyBorder="0" applyProtection="0"/>
    <xf numFmtId="0" fontId="13" fillId="8" borderId="0" applyNumberFormat="0" applyBorder="0" applyProtection="0"/>
    <xf numFmtId="0" fontId="14" fillId="8" borderId="1" applyNumberFormat="0" applyProtection="0"/>
    <xf numFmtId="0" fontId="15" fillId="0" borderId="0" applyNumberForma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4" fillId="0" borderId="0" applyNumberFormat="0" applyBorder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51">
    <xf numFmtId="0" fontId="0" fillId="0" borderId="0" xfId="0"/>
    <xf numFmtId="0" fontId="16" fillId="0" borderId="0" xfId="0" applyFont="1" applyAlignment="1">
      <alignment horizontal="center" vertical="center"/>
    </xf>
    <xf numFmtId="164" fontId="17" fillId="0" borderId="0" xfId="11" applyFont="1" applyAlignment="1">
      <alignment vertical="center"/>
    </xf>
    <xf numFmtId="0" fontId="17" fillId="0" borderId="0" xfId="0" applyFont="1" applyAlignment="1">
      <alignment vertical="center"/>
    </xf>
    <xf numFmtId="164" fontId="0" fillId="0" borderId="0" xfId="11" applyFont="1" applyAlignment="1">
      <alignment vertical="center"/>
    </xf>
    <xf numFmtId="0" fontId="0" fillId="0" borderId="0" xfId="0" applyAlignment="1">
      <alignment vertical="center"/>
    </xf>
    <xf numFmtId="164" fontId="20" fillId="0" borderId="4" xfId="11" applyFont="1" applyBorder="1" applyAlignment="1">
      <alignment horizontal="center" vertical="center"/>
    </xf>
    <xf numFmtId="164" fontId="0" fillId="0" borderId="5" xfId="11" applyFont="1" applyBorder="1" applyAlignment="1">
      <alignment vertical="center"/>
    </xf>
    <xf numFmtId="164" fontId="20" fillId="0" borderId="5" xfId="11" applyFont="1" applyBorder="1" applyAlignment="1">
      <alignment vertical="center"/>
    </xf>
    <xf numFmtId="164" fontId="20" fillId="0" borderId="4" xfId="11" applyFont="1" applyBorder="1" applyAlignment="1">
      <alignment vertical="center"/>
    </xf>
    <xf numFmtId="164" fontId="20" fillId="0" borderId="3" xfId="11" applyFont="1" applyBorder="1" applyAlignment="1">
      <alignment horizontal="center" vertical="center"/>
    </xf>
    <xf numFmtId="164" fontId="20" fillId="0" borderId="5" xfId="0" applyNumberFormat="1" applyFont="1" applyBorder="1" applyAlignment="1">
      <alignment vertical="center"/>
    </xf>
    <xf numFmtId="167" fontId="20" fillId="0" borderId="3" xfId="0" applyNumberFormat="1" applyFont="1" applyBorder="1" applyAlignment="1">
      <alignment vertical="center"/>
    </xf>
    <xf numFmtId="10" fontId="20" fillId="0" borderId="6" xfId="13" applyNumberFormat="1" applyFont="1" applyBorder="1" applyAlignment="1">
      <alignment vertical="center"/>
    </xf>
    <xf numFmtId="164" fontId="20" fillId="0" borderId="0" xfId="11" applyFont="1" applyAlignment="1">
      <alignment vertical="center"/>
    </xf>
    <xf numFmtId="0" fontId="20" fillId="0" borderId="0" xfId="0" applyFont="1" applyAlignment="1">
      <alignment vertical="center"/>
    </xf>
    <xf numFmtId="164" fontId="0" fillId="0" borderId="4" xfId="11" applyFont="1" applyBorder="1" applyAlignment="1">
      <alignment vertical="center"/>
    </xf>
    <xf numFmtId="164" fontId="0" fillId="0" borderId="5" xfId="0" applyNumberFormat="1" applyBorder="1" applyAlignment="1">
      <alignment vertical="center"/>
    </xf>
    <xf numFmtId="167" fontId="0" fillId="0" borderId="3" xfId="0" applyNumberFormat="1" applyBorder="1" applyAlignment="1">
      <alignment vertical="center"/>
    </xf>
    <xf numFmtId="10" fontId="0" fillId="0" borderId="6" xfId="13" applyNumberFormat="1" applyFont="1" applyBorder="1" applyAlignment="1">
      <alignment vertical="center"/>
    </xf>
    <xf numFmtId="164" fontId="20" fillId="0" borderId="4" xfId="11" applyFont="1" applyBorder="1" applyAlignment="1">
      <alignment horizontal="left" vertical="center"/>
    </xf>
    <xf numFmtId="4" fontId="20" fillId="0" borderId="5" xfId="0" applyNumberFormat="1" applyFont="1" applyBorder="1" applyAlignment="1">
      <alignment horizontal="center" vertical="center"/>
    </xf>
    <xf numFmtId="164" fontId="17" fillId="0" borderId="4" xfId="11" applyFont="1" applyBorder="1" applyAlignment="1">
      <alignment horizontal="left" vertical="center"/>
    </xf>
    <xf numFmtId="4" fontId="0" fillId="0" borderId="5" xfId="0" applyNumberFormat="1" applyBorder="1" applyAlignment="1">
      <alignment horizontal="center" vertical="center"/>
    </xf>
    <xf numFmtId="10" fontId="17" fillId="0" borderId="6" xfId="13" applyNumberFormat="1" applyFont="1" applyBorder="1" applyAlignment="1">
      <alignment vertical="center"/>
    </xf>
    <xf numFmtId="170" fontId="20" fillId="0" borderId="4" xfId="0" applyNumberFormat="1" applyFont="1" applyBorder="1" applyAlignment="1">
      <alignment vertical="center"/>
    </xf>
    <xf numFmtId="9" fontId="20" fillId="0" borderId="3" xfId="13" applyFont="1" applyBorder="1" applyAlignment="1">
      <alignment vertical="center"/>
    </xf>
    <xf numFmtId="164" fontId="20" fillId="0" borderId="7" xfId="11" applyFont="1" applyBorder="1" applyAlignment="1">
      <alignment horizontal="right" vertical="center"/>
    </xf>
    <xf numFmtId="164" fontId="17" fillId="0" borderId="4" xfId="11" applyFont="1" applyBorder="1" applyAlignment="1">
      <alignment vertical="center"/>
    </xf>
    <xf numFmtId="164" fontId="17" fillId="0" borderId="5" xfId="11" applyFont="1" applyBorder="1" applyAlignment="1">
      <alignment vertical="center"/>
    </xf>
    <xf numFmtId="0" fontId="0" fillId="0" borderId="5" xfId="0" applyBorder="1" applyAlignment="1">
      <alignment vertical="center"/>
    </xf>
    <xf numFmtId="1" fontId="17" fillId="0" borderId="3" xfId="11" applyNumberFormat="1" applyFont="1" applyBorder="1" applyAlignment="1">
      <alignment horizontal="center" vertical="center"/>
    </xf>
    <xf numFmtId="164" fontId="20" fillId="0" borderId="8" xfId="11" applyFont="1" applyBorder="1" applyAlignment="1">
      <alignment vertical="center"/>
    </xf>
    <xf numFmtId="4" fontId="20" fillId="0" borderId="2" xfId="0" applyNumberFormat="1" applyFont="1" applyBorder="1" applyAlignment="1">
      <alignment vertical="center"/>
    </xf>
    <xf numFmtId="0" fontId="0" fillId="0" borderId="2" xfId="0" applyBorder="1" applyAlignment="1">
      <alignment vertical="center"/>
    </xf>
    <xf numFmtId="1" fontId="20" fillId="0" borderId="9" xfId="11" applyNumberFormat="1" applyFont="1" applyBorder="1" applyAlignment="1">
      <alignment horizontal="center" vertical="center"/>
    </xf>
    <xf numFmtId="164" fontId="20" fillId="0" borderId="10" xfId="11" applyFont="1" applyBorder="1" applyAlignment="1">
      <alignment vertical="center"/>
    </xf>
    <xf numFmtId="4" fontId="20" fillId="0" borderId="0" xfId="0" applyNumberFormat="1" applyFont="1" applyAlignment="1">
      <alignment vertical="center"/>
    </xf>
    <xf numFmtId="164" fontId="17" fillId="0" borderId="11" xfId="11" applyFont="1" applyBorder="1" applyAlignment="1">
      <alignment vertical="center"/>
    </xf>
    <xf numFmtId="0" fontId="20" fillId="0" borderId="3" xfId="0" applyFont="1" applyBorder="1" applyAlignment="1">
      <alignment horizontal="center" vertical="center"/>
    </xf>
    <xf numFmtId="0" fontId="17" fillId="0" borderId="5" xfId="0" applyFont="1" applyBorder="1" applyAlignment="1">
      <alignment vertical="center"/>
    </xf>
    <xf numFmtId="1" fontId="17" fillId="0" borderId="0" xfId="11" applyNumberFormat="1" applyFont="1" applyAlignment="1">
      <alignment horizontal="center" vertical="center"/>
    </xf>
    <xf numFmtId="166" fontId="17" fillId="0" borderId="0" xfId="11" applyNumberFormat="1" applyFont="1" applyAlignment="1">
      <alignment horizontal="center" vertical="center"/>
    </xf>
    <xf numFmtId="9" fontId="20" fillId="10" borderId="6" xfId="13" applyFont="1" applyFill="1" applyBorder="1" applyAlignment="1">
      <alignment vertical="center"/>
    </xf>
    <xf numFmtId="166" fontId="20" fillId="0" borderId="0" xfId="11" applyNumberFormat="1" applyFont="1" applyAlignment="1">
      <alignment horizontal="center" vertical="center"/>
    </xf>
    <xf numFmtId="0" fontId="22" fillId="11" borderId="3" xfId="0" applyFont="1" applyFill="1" applyBorder="1" applyAlignment="1">
      <alignment horizontal="center" vertical="center"/>
    </xf>
    <xf numFmtId="164" fontId="22" fillId="11" borderId="3" xfId="11" applyFont="1" applyFill="1" applyBorder="1" applyAlignment="1">
      <alignment horizontal="center" vertical="center"/>
    </xf>
    <xf numFmtId="0" fontId="17" fillId="0" borderId="9" xfId="0" applyFont="1" applyBorder="1" applyAlignment="1">
      <alignment vertical="center"/>
    </xf>
    <xf numFmtId="0" fontId="17" fillId="0" borderId="9" xfId="0" applyFont="1" applyBorder="1" applyAlignment="1">
      <alignment horizontal="center" vertical="center"/>
    </xf>
    <xf numFmtId="164" fontId="17" fillId="10" borderId="9" xfId="11" applyFont="1" applyFill="1" applyBorder="1" applyAlignment="1">
      <alignment horizontal="center" vertical="center"/>
    </xf>
    <xf numFmtId="164" fontId="17" fillId="0" borderId="9" xfId="11" applyFont="1" applyBorder="1" applyAlignment="1">
      <alignment horizontal="center" vertical="center"/>
    </xf>
    <xf numFmtId="0" fontId="17" fillId="0" borderId="3" xfId="0" applyFont="1" applyBorder="1" applyAlignment="1">
      <alignment vertical="center"/>
    </xf>
    <xf numFmtId="0" fontId="17" fillId="0" borderId="3" xfId="0" applyFont="1" applyBorder="1" applyAlignment="1">
      <alignment horizontal="center" vertical="center"/>
    </xf>
    <xf numFmtId="2" fontId="17" fillId="10" borderId="3" xfId="0" applyNumberFormat="1" applyFont="1" applyFill="1" applyBorder="1" applyAlignment="1">
      <alignment horizontal="center" vertical="center"/>
    </xf>
    <xf numFmtId="164" fontId="17" fillId="0" borderId="3" xfId="11" applyFont="1" applyBorder="1" applyAlignment="1">
      <alignment horizontal="center" vertical="center"/>
    </xf>
    <xf numFmtId="0" fontId="20" fillId="0" borderId="7" xfId="0" applyFont="1" applyBorder="1" applyAlignment="1">
      <alignment vertical="center"/>
    </xf>
    <xf numFmtId="0" fontId="20" fillId="0" borderId="0" xfId="0" applyFont="1" applyAlignment="1">
      <alignment horizontal="center" vertical="center"/>
    </xf>
    <xf numFmtId="164" fontId="20" fillId="0" borderId="0" xfId="11" applyFont="1" applyAlignment="1">
      <alignment horizontal="center" vertical="center"/>
    </xf>
    <xf numFmtId="164" fontId="20" fillId="0" borderId="7" xfId="11" applyFont="1" applyBorder="1" applyAlignment="1">
      <alignment horizontal="center" vertical="center"/>
    </xf>
    <xf numFmtId="164" fontId="17" fillId="12" borderId="3" xfId="11" applyFont="1" applyFill="1" applyBorder="1" applyAlignment="1">
      <alignment horizontal="center" vertical="center"/>
    </xf>
    <xf numFmtId="0" fontId="17" fillId="10" borderId="3" xfId="0" applyFont="1" applyFill="1" applyBorder="1" applyAlignment="1">
      <alignment horizontal="center" vertical="center"/>
    </xf>
    <xf numFmtId="164" fontId="17" fillId="0" borderId="0" xfId="11" applyFont="1" applyAlignment="1">
      <alignment horizontal="right" vertical="center"/>
    </xf>
    <xf numFmtId="164" fontId="17" fillId="0" borderId="3" xfId="11" applyFont="1" applyBorder="1" applyAlignment="1">
      <alignment vertical="center"/>
    </xf>
    <xf numFmtId="164" fontId="20" fillId="11" borderId="6" xfId="11" applyFont="1" applyFill="1" applyBorder="1" applyAlignment="1">
      <alignment horizontal="center" vertical="center"/>
    </xf>
    <xf numFmtId="0" fontId="25" fillId="0" borderId="0" xfId="0" applyFont="1" applyAlignment="1">
      <alignment vertical="center"/>
    </xf>
    <xf numFmtId="1" fontId="17" fillId="10" borderId="3" xfId="0" applyNumberFormat="1" applyFont="1" applyFill="1" applyBorder="1" applyAlignment="1">
      <alignment horizontal="center" vertical="center"/>
    </xf>
    <xf numFmtId="0" fontId="20" fillId="0" borderId="3" xfId="0" applyFont="1" applyBorder="1" applyAlignment="1">
      <alignment vertical="center"/>
    </xf>
    <xf numFmtId="0" fontId="20" fillId="0" borderId="5" xfId="0" applyFont="1" applyBorder="1" applyAlignment="1">
      <alignment horizontal="center" vertical="center"/>
    </xf>
    <xf numFmtId="164" fontId="20" fillId="0" borderId="5" xfId="11" applyFont="1" applyBorder="1" applyAlignment="1">
      <alignment horizontal="center" vertical="center"/>
    </xf>
    <xf numFmtId="0" fontId="17" fillId="0" borderId="0" xfId="0" applyFont="1" applyAlignment="1">
      <alignment horizontal="right" vertical="center"/>
    </xf>
    <xf numFmtId="166" fontId="17" fillId="0" borderId="3" xfId="11" applyNumberFormat="1" applyFont="1" applyBorder="1" applyAlignment="1">
      <alignment horizontal="center" vertical="center"/>
    </xf>
    <xf numFmtId="164" fontId="17" fillId="10" borderId="0" xfId="11" applyFont="1" applyFill="1" applyAlignment="1">
      <alignment vertical="center"/>
    </xf>
    <xf numFmtId="0" fontId="26" fillId="0" borderId="0" xfId="0" applyFont="1" applyAlignment="1">
      <alignment vertical="center"/>
    </xf>
    <xf numFmtId="0" fontId="17" fillId="10" borderId="0" xfId="0" applyFont="1" applyFill="1" applyAlignment="1">
      <alignment vertical="center"/>
    </xf>
    <xf numFmtId="166" fontId="17" fillId="0" borderId="3" xfId="11" applyNumberFormat="1" applyFont="1" applyBorder="1" applyAlignment="1">
      <alignment vertical="center"/>
    </xf>
    <xf numFmtId="164" fontId="20" fillId="11" borderId="3" xfId="11" applyFont="1" applyFill="1" applyBorder="1" applyAlignment="1">
      <alignment vertical="center"/>
    </xf>
    <xf numFmtId="164" fontId="17" fillId="10" borderId="3" xfId="11" applyFont="1" applyFill="1" applyBorder="1" applyAlignment="1">
      <alignment horizontal="center" vertical="center"/>
    </xf>
    <xf numFmtId="0" fontId="20" fillId="0" borderId="4" xfId="0" applyFont="1" applyBorder="1" applyAlignment="1">
      <alignment vertical="center"/>
    </xf>
    <xf numFmtId="0" fontId="20" fillId="0" borderId="5" xfId="0" applyFont="1" applyBorder="1" applyAlignment="1">
      <alignment vertical="center"/>
    </xf>
    <xf numFmtId="164" fontId="20" fillId="0" borderId="6" xfId="11" applyFont="1" applyBorder="1" applyAlignment="1">
      <alignment vertical="center"/>
    </xf>
    <xf numFmtId="0" fontId="22" fillId="11" borderId="3" xfId="0" applyFont="1" applyFill="1" applyBorder="1" applyAlignment="1">
      <alignment horizontal="center" vertical="center" wrapText="1"/>
    </xf>
    <xf numFmtId="13" fontId="17" fillId="10" borderId="3" xfId="0" applyNumberFormat="1" applyFont="1" applyFill="1" applyBorder="1" applyAlignment="1">
      <alignment horizontal="center" vertical="center"/>
    </xf>
    <xf numFmtId="0" fontId="17" fillId="0" borderId="3" xfId="0" applyFont="1" applyBorder="1"/>
    <xf numFmtId="0" fontId="17" fillId="0" borderId="3" xfId="0" applyFont="1" applyBorder="1" applyAlignment="1">
      <alignment horizontal="center"/>
    </xf>
    <xf numFmtId="164" fontId="17" fillId="0" borderId="0" xfId="11" applyFont="1"/>
    <xf numFmtId="0" fontId="17" fillId="0" borderId="0" xfId="0" applyFont="1"/>
    <xf numFmtId="1" fontId="17" fillId="0" borderId="3" xfId="0" applyNumberFormat="1" applyFont="1" applyBorder="1" applyAlignment="1">
      <alignment horizontal="center" vertical="center"/>
    </xf>
    <xf numFmtId="164" fontId="17" fillId="0" borderId="6" xfId="11" applyFont="1" applyBorder="1" applyAlignment="1">
      <alignment vertical="center"/>
    </xf>
    <xf numFmtId="164" fontId="20" fillId="11" borderId="3" xfId="11" applyFont="1" applyFill="1" applyBorder="1" applyAlignment="1">
      <alignment horizontal="center" vertical="center"/>
    </xf>
    <xf numFmtId="0" fontId="6" fillId="0" borderId="0" xfId="12" applyAlignment="1">
      <alignment vertical="center"/>
    </xf>
    <xf numFmtId="164" fontId="17" fillId="0" borderId="0" xfId="11" applyFont="1" applyAlignment="1">
      <alignment horizontal="center" vertical="center"/>
    </xf>
    <xf numFmtId="169" fontId="17" fillId="0" borderId="0" xfId="0" applyNumberFormat="1" applyFont="1" applyAlignment="1">
      <alignment vertical="center"/>
    </xf>
    <xf numFmtId="0" fontId="20" fillId="0" borderId="12" xfId="0" applyFont="1" applyBorder="1" applyAlignment="1">
      <alignment vertical="center"/>
    </xf>
    <xf numFmtId="0" fontId="20" fillId="0" borderId="12" xfId="0" applyFont="1" applyBorder="1" applyAlignment="1">
      <alignment horizontal="center" vertical="center"/>
    </xf>
    <xf numFmtId="164" fontId="20" fillId="0" borderId="12" xfId="11" applyFont="1" applyBorder="1" applyAlignment="1">
      <alignment horizontal="center" vertical="center"/>
    </xf>
    <xf numFmtId="164" fontId="17" fillId="12" borderId="3" xfId="11" applyFont="1" applyFill="1" applyBorder="1" applyAlignment="1">
      <alignment vertical="center"/>
    </xf>
    <xf numFmtId="0" fontId="25" fillId="0" borderId="0" xfId="0" applyFont="1" applyAlignment="1">
      <alignment horizontal="left" vertical="center" wrapText="1"/>
    </xf>
    <xf numFmtId="0" fontId="28" fillId="0" borderId="0" xfId="0" applyFont="1" applyAlignment="1">
      <alignment vertical="center"/>
    </xf>
    <xf numFmtId="0" fontId="22" fillId="11" borderId="7" xfId="0" applyFont="1" applyFill="1" applyBorder="1" applyAlignment="1">
      <alignment horizontal="center" vertical="center"/>
    </xf>
    <xf numFmtId="164" fontId="22" fillId="11" borderId="7" xfId="11" applyFont="1" applyFill="1" applyBorder="1" applyAlignment="1">
      <alignment horizontal="center" vertical="center"/>
    </xf>
    <xf numFmtId="164" fontId="17" fillId="0" borderId="3" xfId="0" applyNumberFormat="1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3" fontId="17" fillId="0" borderId="0" xfId="0" applyNumberFormat="1" applyFont="1" applyAlignment="1">
      <alignment vertical="center"/>
    </xf>
    <xf numFmtId="3" fontId="17" fillId="10" borderId="3" xfId="0" applyNumberFormat="1" applyFont="1" applyFill="1" applyBorder="1" applyAlignment="1">
      <alignment vertical="center"/>
    </xf>
    <xf numFmtId="4" fontId="17" fillId="10" borderId="9" xfId="0" applyNumberFormat="1" applyFont="1" applyFill="1" applyBorder="1" applyAlignment="1">
      <alignment horizontal="center" vertical="center"/>
    </xf>
    <xf numFmtId="165" fontId="17" fillId="10" borderId="9" xfId="11" applyNumberFormat="1" applyFont="1" applyFill="1" applyBorder="1" applyAlignment="1">
      <alignment horizontal="center" vertical="center"/>
    </xf>
    <xf numFmtId="165" fontId="17" fillId="0" borderId="9" xfId="11" applyNumberFormat="1" applyFont="1" applyBorder="1" applyAlignment="1">
      <alignment horizontal="center" vertical="center"/>
    </xf>
    <xf numFmtId="4" fontId="17" fillId="10" borderId="3" xfId="0" applyNumberFormat="1" applyFont="1" applyFill="1" applyBorder="1" applyAlignment="1">
      <alignment horizontal="center" vertical="center"/>
    </xf>
    <xf numFmtId="165" fontId="17" fillId="0" borderId="3" xfId="11" applyNumberFormat="1" applyFont="1" applyBorder="1" applyAlignment="1">
      <alignment horizontal="center" vertical="center"/>
    </xf>
    <xf numFmtId="166" fontId="20" fillId="0" borderId="3" xfId="11" applyNumberFormat="1" applyFont="1" applyBorder="1" applyAlignment="1">
      <alignment horizontal="center" vertical="center"/>
    </xf>
    <xf numFmtId="165" fontId="20" fillId="0" borderId="3" xfId="11" applyNumberFormat="1" applyFont="1" applyBorder="1" applyAlignment="1">
      <alignment horizontal="center" vertical="center"/>
    </xf>
    <xf numFmtId="0" fontId="17" fillId="10" borderId="9" xfId="0" applyFont="1" applyFill="1" applyBorder="1" applyAlignment="1">
      <alignment horizontal="center" vertical="center"/>
    </xf>
    <xf numFmtId="3" fontId="17" fillId="10" borderId="3" xfId="0" applyNumberFormat="1" applyFont="1" applyFill="1" applyBorder="1" applyAlignment="1">
      <alignment horizontal="center" vertical="center"/>
    </xf>
    <xf numFmtId="0" fontId="29" fillId="0" borderId="0" xfId="12" applyFont="1" applyAlignment="1">
      <alignment vertical="center"/>
    </xf>
    <xf numFmtId="0" fontId="0" fillId="0" borderId="3" xfId="0" applyBorder="1" applyAlignment="1">
      <alignment vertical="center"/>
    </xf>
    <xf numFmtId="0" fontId="30" fillId="0" borderId="3" xfId="0" applyFont="1" applyBorder="1" applyAlignment="1">
      <alignment horizontal="center" vertical="center"/>
    </xf>
    <xf numFmtId="164" fontId="28" fillId="0" borderId="3" xfId="11" applyFont="1" applyBorder="1" applyAlignment="1">
      <alignment horizontal="center" vertical="center"/>
    </xf>
    <xf numFmtId="164" fontId="26" fillId="0" borderId="0" xfId="11" applyFont="1" applyAlignment="1">
      <alignment vertical="center"/>
    </xf>
    <xf numFmtId="0" fontId="16" fillId="0" borderId="0" xfId="0" applyFont="1" applyAlignment="1">
      <alignment vertical="center"/>
    </xf>
    <xf numFmtId="164" fontId="16" fillId="0" borderId="0" xfId="11" applyFont="1" applyAlignment="1">
      <alignment vertical="center"/>
    </xf>
    <xf numFmtId="0" fontId="31" fillId="0" borderId="0" xfId="0" applyFont="1" applyAlignment="1">
      <alignment vertical="center"/>
    </xf>
    <xf numFmtId="164" fontId="31" fillId="0" borderId="0" xfId="11" applyFont="1" applyAlignment="1">
      <alignment vertical="center"/>
    </xf>
    <xf numFmtId="4" fontId="0" fillId="0" borderId="0" xfId="0" applyNumberFormat="1" applyAlignment="1">
      <alignment vertical="center"/>
    </xf>
    <xf numFmtId="0" fontId="32" fillId="0" borderId="0" xfId="0" applyFont="1" applyAlignment="1">
      <alignment vertical="center"/>
    </xf>
    <xf numFmtId="0" fontId="31" fillId="0" borderId="3" xfId="0" applyFont="1" applyBorder="1" applyAlignment="1">
      <alignment horizontal="left" vertical="center"/>
    </xf>
    <xf numFmtId="0" fontId="31" fillId="0" borderId="0" xfId="0" applyFont="1" applyAlignment="1">
      <alignment horizontal="left" vertical="center"/>
    </xf>
    <xf numFmtId="10" fontId="31" fillId="0" borderId="3" xfId="0" applyNumberFormat="1" applyFont="1" applyBorder="1" applyAlignment="1">
      <alignment horizontal="right" vertical="center"/>
    </xf>
    <xf numFmtId="0" fontId="33" fillId="0" borderId="3" xfId="0" applyFont="1" applyBorder="1" applyAlignment="1">
      <alignment horizontal="left" vertical="center"/>
    </xf>
    <xf numFmtId="10" fontId="33" fillId="0" borderId="3" xfId="0" applyNumberFormat="1" applyFont="1" applyBorder="1" applyAlignment="1">
      <alignment horizontal="right" vertical="center"/>
    </xf>
    <xf numFmtId="0" fontId="31" fillId="13" borderId="3" xfId="0" applyFont="1" applyFill="1" applyBorder="1" applyAlignment="1">
      <alignment horizontal="left" vertical="center"/>
    </xf>
    <xf numFmtId="0" fontId="33" fillId="13" borderId="3" xfId="0" applyFont="1" applyFill="1" applyBorder="1" applyAlignment="1">
      <alignment horizontal="left" vertical="center"/>
    </xf>
    <xf numFmtId="10" fontId="33" fillId="13" borderId="3" xfId="0" applyNumberFormat="1" applyFont="1" applyFill="1" applyBorder="1" applyAlignment="1">
      <alignment horizontal="right" vertical="center"/>
    </xf>
    <xf numFmtId="0" fontId="17" fillId="0" borderId="0" xfId="0" applyFont="1" applyAlignment="1">
      <alignment horizontal="left" vertical="center"/>
    </xf>
    <xf numFmtId="10" fontId="17" fillId="0" borderId="0" xfId="0" applyNumberFormat="1" applyFont="1"/>
    <xf numFmtId="9" fontId="31" fillId="0" borderId="0" xfId="13" applyFont="1" applyAlignment="1">
      <alignment horizontal="right" vertical="center"/>
    </xf>
    <xf numFmtId="0" fontId="31" fillId="0" borderId="3" xfId="0" applyFont="1" applyBorder="1" applyAlignment="1">
      <alignment horizontal="left" vertical="center" wrapText="1"/>
    </xf>
    <xf numFmtId="0" fontId="31" fillId="14" borderId="3" xfId="0" applyFont="1" applyFill="1" applyBorder="1" applyAlignment="1">
      <alignment horizontal="left" vertical="center"/>
    </xf>
    <xf numFmtId="0" fontId="33" fillId="14" borderId="3" xfId="0" applyFont="1" applyFill="1" applyBorder="1" applyAlignment="1">
      <alignment horizontal="left" vertical="center"/>
    </xf>
    <xf numFmtId="10" fontId="33" fillId="14" borderId="3" xfId="0" applyNumberFormat="1" applyFont="1" applyFill="1" applyBorder="1" applyAlignment="1">
      <alignment horizontal="right" vertical="center"/>
    </xf>
    <xf numFmtId="0" fontId="33" fillId="0" borderId="0" xfId="0" applyFont="1" applyAlignment="1">
      <alignment horizontal="left" vertical="center"/>
    </xf>
    <xf numFmtId="10" fontId="33" fillId="0" borderId="0" xfId="0" applyNumberFormat="1" applyFont="1" applyAlignment="1">
      <alignment horizontal="right" vertical="center"/>
    </xf>
    <xf numFmtId="0" fontId="17" fillId="15" borderId="0" xfId="0" applyFont="1" applyFill="1" applyAlignment="1">
      <alignment horizontal="left" vertical="center"/>
    </xf>
    <xf numFmtId="10" fontId="31" fillId="0" borderId="0" xfId="0" applyNumberFormat="1" applyFont="1" applyAlignment="1">
      <alignment horizontal="right" vertical="center"/>
    </xf>
    <xf numFmtId="0" fontId="31" fillId="15" borderId="0" xfId="0" applyFont="1" applyFill="1" applyAlignment="1">
      <alignment horizontal="left" vertical="center"/>
    </xf>
    <xf numFmtId="0" fontId="34" fillId="0" borderId="0" xfId="0" applyFont="1" applyAlignment="1">
      <alignment horizontal="justify" vertical="center"/>
    </xf>
    <xf numFmtId="0" fontId="6" fillId="0" borderId="0" xfId="12" applyAlignment="1">
      <alignment horizontal="left" vertical="center"/>
    </xf>
    <xf numFmtId="0" fontId="31" fillId="0" borderId="0" xfId="0" applyFont="1" applyAlignment="1">
      <alignment horizontal="right" vertical="center"/>
    </xf>
    <xf numFmtId="0" fontId="33" fillId="0" borderId="4" xfId="0" applyFont="1" applyBorder="1"/>
    <xf numFmtId="0" fontId="31" fillId="0" borderId="6" xfId="0" applyFont="1" applyBorder="1"/>
    <xf numFmtId="0" fontId="33" fillId="0" borderId="7" xfId="0" applyFont="1" applyBorder="1"/>
    <xf numFmtId="0" fontId="33" fillId="10" borderId="3" xfId="0" applyFont="1" applyFill="1" applyBorder="1"/>
    <xf numFmtId="0" fontId="33" fillId="0" borderId="3" xfId="0" applyFont="1" applyBorder="1"/>
    <xf numFmtId="0" fontId="31" fillId="0" borderId="3" xfId="0" applyFont="1" applyBorder="1"/>
    <xf numFmtId="0" fontId="31" fillId="10" borderId="3" xfId="0" applyFont="1" applyFill="1" applyBorder="1"/>
    <xf numFmtId="0" fontId="31" fillId="0" borderId="7" xfId="0" applyFont="1" applyBorder="1"/>
    <xf numFmtId="0" fontId="31" fillId="10" borderId="7" xfId="0" applyFont="1" applyFill="1" applyBorder="1"/>
    <xf numFmtId="0" fontId="31" fillId="0" borderId="13" xfId="0" applyFont="1" applyBorder="1"/>
    <xf numFmtId="0" fontId="31" fillId="0" borderId="9" xfId="0" applyFont="1" applyBorder="1"/>
    <xf numFmtId="0" fontId="31" fillId="10" borderId="9" xfId="0" applyFont="1" applyFill="1" applyBorder="1"/>
    <xf numFmtId="0" fontId="31" fillId="0" borderId="10" xfId="0" applyFont="1" applyBorder="1"/>
    <xf numFmtId="0" fontId="31" fillId="0" borderId="11" xfId="0" applyFont="1" applyBorder="1"/>
    <xf numFmtId="0" fontId="20" fillId="0" borderId="0" xfId="0" applyFont="1"/>
    <xf numFmtId="10" fontId="33" fillId="0" borderId="3" xfId="13" applyNumberFormat="1" applyFont="1" applyBorder="1"/>
    <xf numFmtId="168" fontId="33" fillId="0" borderId="3" xfId="0" applyNumberFormat="1" applyFont="1" applyBorder="1"/>
    <xf numFmtId="9" fontId="33" fillId="0" borderId="3" xfId="13" applyFont="1" applyBorder="1"/>
    <xf numFmtId="0" fontId="33" fillId="0" borderId="8" xfId="0" applyFont="1" applyBorder="1"/>
    <xf numFmtId="9" fontId="33" fillId="0" borderId="9" xfId="13" applyFont="1" applyBorder="1"/>
    <xf numFmtId="0" fontId="31" fillId="0" borderId="0" xfId="0" applyFont="1"/>
    <xf numFmtId="0" fontId="16" fillId="0" borderId="10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33" fillId="0" borderId="10" xfId="0" applyFont="1" applyBorder="1" applyAlignment="1">
      <alignment horizontal="left" vertical="center"/>
    </xf>
    <xf numFmtId="9" fontId="31" fillId="0" borderId="3" xfId="13" applyFont="1" applyBorder="1"/>
    <xf numFmtId="9" fontId="31" fillId="0" borderId="3" xfId="13" applyFont="1" applyBorder="1" applyAlignment="1">
      <alignment horizontal="center"/>
    </xf>
    <xf numFmtId="0" fontId="31" fillId="0" borderId="3" xfId="0" applyFont="1" applyBorder="1" applyAlignment="1">
      <alignment horizontal="center" vertical="center"/>
    </xf>
    <xf numFmtId="10" fontId="31" fillId="10" borderId="3" xfId="0" applyNumberFormat="1" applyFont="1" applyFill="1" applyBorder="1" applyAlignment="1">
      <alignment horizontal="center" vertical="center"/>
    </xf>
    <xf numFmtId="10" fontId="31" fillId="0" borderId="3" xfId="13" applyNumberFormat="1" applyFont="1" applyBorder="1" applyAlignment="1">
      <alignment horizontal="right"/>
    </xf>
    <xf numFmtId="10" fontId="31" fillId="0" borderId="3" xfId="0" applyNumberFormat="1" applyFont="1" applyBorder="1" applyAlignment="1">
      <alignment horizontal="center" vertical="center"/>
    </xf>
    <xf numFmtId="10" fontId="31" fillId="10" borderId="3" xfId="13" applyNumberFormat="1" applyFont="1" applyFill="1" applyBorder="1" applyAlignment="1">
      <alignment horizontal="center"/>
    </xf>
    <xf numFmtId="10" fontId="31" fillId="0" borderId="3" xfId="13" applyNumberFormat="1" applyFont="1" applyBorder="1"/>
    <xf numFmtId="0" fontId="31" fillId="0" borderId="3" xfId="0" applyFont="1" applyBorder="1" applyAlignment="1">
      <alignment horizontal="right"/>
    </xf>
    <xf numFmtId="0" fontId="31" fillId="10" borderId="3" xfId="0" applyFont="1" applyFill="1" applyBorder="1" applyAlignment="1">
      <alignment horizontal="center"/>
    </xf>
    <xf numFmtId="0" fontId="31" fillId="0" borderId="3" xfId="0" applyFont="1" applyBorder="1" applyAlignment="1">
      <alignment horizontal="center"/>
    </xf>
    <xf numFmtId="0" fontId="31" fillId="0" borderId="13" xfId="0" applyFont="1" applyBorder="1" applyAlignment="1">
      <alignment vertical="center"/>
    </xf>
    <xf numFmtId="0" fontId="31" fillId="0" borderId="14" xfId="0" applyFont="1" applyBorder="1" applyAlignment="1">
      <alignment vertical="center"/>
    </xf>
    <xf numFmtId="10" fontId="31" fillId="0" borderId="15" xfId="0" applyNumberFormat="1" applyFont="1" applyBorder="1" applyAlignment="1">
      <alignment vertical="center"/>
    </xf>
    <xf numFmtId="0" fontId="31" fillId="0" borderId="8" xfId="0" applyFont="1" applyBorder="1" applyAlignment="1">
      <alignment horizontal="left" vertical="center"/>
    </xf>
    <xf numFmtId="0" fontId="31" fillId="0" borderId="2" xfId="0" applyFont="1" applyBorder="1" applyAlignment="1">
      <alignment horizontal="left" vertical="center"/>
    </xf>
    <xf numFmtId="0" fontId="31" fillId="0" borderId="16" xfId="0" applyFont="1" applyBorder="1" applyAlignment="1">
      <alignment vertical="center"/>
    </xf>
    <xf numFmtId="0" fontId="33" fillId="13" borderId="4" xfId="0" applyFont="1" applyFill="1" applyBorder="1" applyAlignment="1">
      <alignment vertical="center" wrapText="1"/>
    </xf>
    <xf numFmtId="0" fontId="31" fillId="13" borderId="5" xfId="0" applyFont="1" applyFill="1" applyBorder="1" applyAlignment="1">
      <alignment vertical="center"/>
    </xf>
    <xf numFmtId="10" fontId="33" fillId="13" borderId="6" xfId="0" applyNumberFormat="1" applyFont="1" applyFill="1" applyBorder="1" applyAlignment="1">
      <alignment horizontal="center" vertical="center" wrapText="1"/>
    </xf>
    <xf numFmtId="0" fontId="3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3" fillId="0" borderId="3" xfId="0" applyFont="1" applyBorder="1" applyAlignment="1">
      <alignment horizontal="center" vertical="center"/>
    </xf>
    <xf numFmtId="0" fontId="33" fillId="17" borderId="3" xfId="0" applyFont="1" applyFill="1" applyBorder="1" applyAlignment="1">
      <alignment horizontal="center" vertical="center"/>
    </xf>
    <xf numFmtId="2" fontId="31" fillId="17" borderId="3" xfId="0" applyNumberFormat="1" applyFont="1" applyFill="1" applyBorder="1" applyAlignment="1">
      <alignment horizontal="right" vertical="center"/>
    </xf>
    <xf numFmtId="0" fontId="32" fillId="16" borderId="7" xfId="0" applyFont="1" applyFill="1" applyBorder="1" applyAlignment="1">
      <alignment horizontal="center"/>
    </xf>
    <xf numFmtId="0" fontId="17" fillId="0" borderId="17" xfId="0" applyFont="1" applyBorder="1"/>
    <xf numFmtId="0" fontId="35" fillId="0" borderId="17" xfId="0" applyFont="1" applyBorder="1" applyAlignment="1">
      <alignment horizontal="justify"/>
    </xf>
    <xf numFmtId="0" fontId="35" fillId="0" borderId="9" xfId="0" applyFont="1" applyBorder="1" applyAlignment="1">
      <alignment horizontal="justify"/>
    </xf>
    <xf numFmtId="164" fontId="17" fillId="0" borderId="0" xfId="0" applyNumberFormat="1" applyFont="1" applyAlignment="1">
      <alignment vertical="center"/>
    </xf>
    <xf numFmtId="44" fontId="0" fillId="0" borderId="0" xfId="26" applyFont="1" applyAlignment="1">
      <alignment vertical="center"/>
    </xf>
    <xf numFmtId="43" fontId="17" fillId="0" borderId="0" xfId="27" applyFont="1" applyAlignment="1">
      <alignment vertical="center"/>
    </xf>
    <xf numFmtId="0" fontId="20" fillId="0" borderId="3" xfId="0" applyFont="1" applyBorder="1" applyAlignment="1">
      <alignment horizontal="left" vertical="center"/>
    </xf>
    <xf numFmtId="44" fontId="0" fillId="0" borderId="0" xfId="26" applyFont="1"/>
    <xf numFmtId="44" fontId="0" fillId="0" borderId="0" xfId="0" applyNumberFormat="1"/>
    <xf numFmtId="0" fontId="0" fillId="0" borderId="0" xfId="0" applyAlignment="1">
      <alignment horizontal="left"/>
    </xf>
    <xf numFmtId="0" fontId="0" fillId="0" borderId="19" xfId="0" applyBorder="1"/>
    <xf numFmtId="17" fontId="0" fillId="0" borderId="18" xfId="0" applyNumberFormat="1" applyBorder="1" applyAlignment="1">
      <alignment horizontal="left"/>
    </xf>
    <xf numFmtId="44" fontId="2" fillId="0" borderId="18" xfId="0" applyNumberFormat="1" applyFont="1" applyBorder="1"/>
    <xf numFmtId="44" fontId="0" fillId="0" borderId="18" xfId="0" applyNumberFormat="1" applyBorder="1"/>
    <xf numFmtId="0" fontId="0" fillId="0" borderId="21" xfId="0" applyBorder="1" applyAlignment="1">
      <alignment horizontal="left"/>
    </xf>
    <xf numFmtId="0" fontId="0" fillId="0" borderId="22" xfId="0" applyBorder="1"/>
    <xf numFmtId="0" fontId="0" fillId="0" borderId="23" xfId="0" applyBorder="1" applyAlignment="1">
      <alignment horizontal="left"/>
    </xf>
    <xf numFmtId="0" fontId="2" fillId="0" borderId="18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44" fontId="2" fillId="0" borderId="0" xfId="0" applyNumberFormat="1" applyFont="1"/>
    <xf numFmtId="44" fontId="17" fillId="0" borderId="0" xfId="26" applyFont="1" applyAlignment="1">
      <alignment vertical="center"/>
    </xf>
    <xf numFmtId="43" fontId="17" fillId="0" borderId="3" xfId="27" applyFont="1" applyBorder="1" applyAlignment="1">
      <alignment horizontal="center" vertical="center"/>
    </xf>
    <xf numFmtId="44" fontId="0" fillId="0" borderId="0" xfId="26" applyFont="1" applyBorder="1"/>
    <xf numFmtId="44" fontId="0" fillId="0" borderId="20" xfId="26" applyFont="1" applyBorder="1"/>
    <xf numFmtId="17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0" fontId="11" fillId="0" borderId="0" xfId="0" applyFont="1"/>
    <xf numFmtId="2" fontId="11" fillId="0" borderId="0" xfId="0" applyNumberFormat="1" applyFont="1"/>
    <xf numFmtId="0" fontId="38" fillId="0" borderId="0" xfId="0" applyFont="1"/>
    <xf numFmtId="0" fontId="2" fillId="0" borderId="0" xfId="0" applyFont="1"/>
    <xf numFmtId="0" fontId="2" fillId="18" borderId="0" xfId="0" applyFont="1" applyFill="1"/>
    <xf numFmtId="2" fontId="38" fillId="18" borderId="0" xfId="0" applyNumberFormat="1" applyFont="1" applyFill="1"/>
    <xf numFmtId="0" fontId="26" fillId="10" borderId="3" xfId="0" applyFont="1" applyFill="1" applyBorder="1" applyAlignment="1">
      <alignment horizontal="center" vertical="center"/>
    </xf>
    <xf numFmtId="0" fontId="39" fillId="0" borderId="0" xfId="0" applyFont="1" applyAlignment="1">
      <alignment vertical="center"/>
    </xf>
    <xf numFmtId="1" fontId="39" fillId="0" borderId="3" xfId="0" applyNumberFormat="1" applyFont="1" applyBorder="1" applyAlignment="1">
      <alignment horizontal="center" vertical="center"/>
    </xf>
    <xf numFmtId="2" fontId="17" fillId="18" borderId="3" xfId="0" applyNumberFormat="1" applyFont="1" applyFill="1" applyBorder="1" applyAlignment="1">
      <alignment horizontal="center" vertical="center"/>
    </xf>
    <xf numFmtId="164" fontId="17" fillId="0" borderId="0" xfId="11" applyFont="1" applyBorder="1" applyAlignment="1">
      <alignment vertical="center"/>
    </xf>
    <xf numFmtId="164" fontId="20" fillId="0" borderId="0" xfId="11" applyFont="1" applyBorder="1" applyAlignment="1">
      <alignment horizontal="center" vertical="center"/>
    </xf>
    <xf numFmtId="0" fontId="17" fillId="0" borderId="24" xfId="0" applyFont="1" applyBorder="1" applyAlignment="1">
      <alignment horizontal="center" vertical="center"/>
    </xf>
    <xf numFmtId="164" fontId="17" fillId="0" borderId="24" xfId="11" applyFont="1" applyBorder="1" applyAlignment="1">
      <alignment horizontal="right" vertical="center"/>
    </xf>
    <xf numFmtId="164" fontId="17" fillId="0" borderId="24" xfId="11" applyFont="1" applyBorder="1" applyAlignment="1">
      <alignment vertical="center"/>
    </xf>
    <xf numFmtId="164" fontId="20" fillId="0" borderId="24" xfId="11" applyFont="1" applyBorder="1" applyAlignment="1">
      <alignment horizontal="center" vertical="center"/>
    </xf>
    <xf numFmtId="0" fontId="20" fillId="0" borderId="24" xfId="0" applyFont="1" applyBorder="1" applyAlignment="1">
      <alignment vertical="center"/>
    </xf>
    <xf numFmtId="1" fontId="40" fillId="0" borderId="3" xfId="11" applyNumberFormat="1" applyFont="1" applyBorder="1" applyAlignment="1">
      <alignment horizontal="center" vertical="center"/>
    </xf>
    <xf numFmtId="0" fontId="41" fillId="0" borderId="24" xfId="0" applyFont="1" applyBorder="1" applyAlignment="1">
      <alignment vertical="center"/>
    </xf>
    <xf numFmtId="0" fontId="41" fillId="0" borderId="24" xfId="0" applyFont="1" applyBorder="1" applyAlignment="1">
      <alignment horizontal="center" vertical="center"/>
    </xf>
    <xf numFmtId="164" fontId="41" fillId="0" borderId="24" xfId="11" applyFont="1" applyBorder="1" applyAlignment="1">
      <alignment horizontal="right" vertical="center"/>
    </xf>
    <xf numFmtId="164" fontId="41" fillId="0" borderId="24" xfId="11" applyFont="1" applyBorder="1" applyAlignment="1">
      <alignment vertical="center"/>
    </xf>
    <xf numFmtId="164" fontId="41" fillId="0" borderId="24" xfId="11" applyFont="1" applyBorder="1" applyAlignment="1">
      <alignment horizontal="center" vertical="center"/>
    </xf>
    <xf numFmtId="0" fontId="11" fillId="0" borderId="24" xfId="0" applyFont="1" applyBorder="1"/>
    <xf numFmtId="0" fontId="0" fillId="0" borderId="24" xfId="0" applyBorder="1"/>
    <xf numFmtId="0" fontId="38" fillId="0" borderId="24" xfId="0" applyFont="1" applyBorder="1"/>
    <xf numFmtId="0" fontId="0" fillId="0" borderId="24" xfId="0" applyBorder="1" applyAlignment="1">
      <alignment horizontal="center"/>
    </xf>
    <xf numFmtId="0" fontId="11" fillId="0" borderId="24" xfId="0" applyFont="1" applyBorder="1" applyAlignment="1">
      <alignment horizontal="center"/>
    </xf>
    <xf numFmtId="2" fontId="11" fillId="0" borderId="24" xfId="0" applyNumberFormat="1" applyFont="1" applyBorder="1" applyAlignment="1">
      <alignment horizontal="center"/>
    </xf>
    <xf numFmtId="2" fontId="38" fillId="0" borderId="24" xfId="0" applyNumberFormat="1" applyFont="1" applyBorder="1" applyAlignment="1">
      <alignment horizontal="center"/>
    </xf>
    <xf numFmtId="0" fontId="11" fillId="0" borderId="28" xfId="0" applyFont="1" applyBorder="1" applyAlignment="1">
      <alignment horizontal="center"/>
    </xf>
    <xf numFmtId="0" fontId="11" fillId="0" borderId="0" xfId="0" applyFont="1" applyAlignment="1">
      <alignment horizontal="center"/>
    </xf>
    <xf numFmtId="2" fontId="0" fillId="0" borderId="0" xfId="0" applyNumberFormat="1"/>
    <xf numFmtId="2" fontId="11" fillId="0" borderId="0" xfId="0" applyNumberFormat="1" applyFont="1" applyAlignment="1">
      <alignment horizontal="center"/>
    </xf>
    <xf numFmtId="2" fontId="38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2" fontId="38" fillId="0" borderId="0" xfId="0" applyNumberFormat="1" applyFont="1"/>
    <xf numFmtId="0" fontId="0" fillId="18" borderId="0" xfId="0" applyFill="1"/>
    <xf numFmtId="2" fontId="2" fillId="0" borderId="0" xfId="0" applyNumberFormat="1" applyFont="1"/>
    <xf numFmtId="0" fontId="11" fillId="18" borderId="0" xfId="0" applyFont="1" applyFill="1"/>
    <xf numFmtId="2" fontId="11" fillId="18" borderId="0" xfId="0" applyNumberFormat="1" applyFont="1" applyFill="1"/>
    <xf numFmtId="164" fontId="20" fillId="18" borderId="24" xfId="11" applyFont="1" applyFill="1" applyBorder="1" applyAlignment="1">
      <alignment vertical="center"/>
    </xf>
    <xf numFmtId="2" fontId="20" fillId="18" borderId="0" xfId="0" applyNumberFormat="1" applyFont="1" applyFill="1" applyAlignment="1">
      <alignment vertical="center"/>
    </xf>
    <xf numFmtId="164" fontId="20" fillId="19" borderId="3" xfId="11" applyFont="1" applyFill="1" applyBorder="1" applyAlignment="1">
      <alignment vertical="center"/>
    </xf>
    <xf numFmtId="2" fontId="26" fillId="10" borderId="3" xfId="0" applyNumberFormat="1" applyFont="1" applyFill="1" applyBorder="1" applyAlignment="1">
      <alignment horizontal="center" vertical="center"/>
    </xf>
    <xf numFmtId="164" fontId="16" fillId="18" borderId="24" xfId="11" applyFont="1" applyFill="1" applyBorder="1" applyAlignment="1">
      <alignment vertical="center"/>
    </xf>
    <xf numFmtId="164" fontId="17" fillId="18" borderId="0" xfId="11" applyFont="1" applyFill="1" applyAlignment="1">
      <alignment vertical="center"/>
    </xf>
    <xf numFmtId="164" fontId="20" fillId="18" borderId="0" xfId="11" applyFont="1" applyFill="1" applyAlignment="1">
      <alignment horizontal="center" vertical="center"/>
    </xf>
    <xf numFmtId="164" fontId="16" fillId="18" borderId="0" xfId="11" applyFont="1" applyFill="1" applyAlignment="1">
      <alignment vertical="center"/>
    </xf>
    <xf numFmtId="164" fontId="16" fillId="18" borderId="18" xfId="11" applyFont="1" applyFill="1" applyBorder="1" applyAlignment="1">
      <alignment vertical="center"/>
    </xf>
    <xf numFmtId="164" fontId="22" fillId="18" borderId="3" xfId="11" applyFont="1" applyFill="1" applyBorder="1" applyAlignment="1">
      <alignment horizontal="center" vertical="center"/>
    </xf>
    <xf numFmtId="164" fontId="17" fillId="18" borderId="0" xfId="11" applyFont="1" applyFill="1" applyAlignment="1">
      <alignment horizontal="center" vertical="center"/>
    </xf>
    <xf numFmtId="1" fontId="20" fillId="0" borderId="3" xfId="0" applyNumberFormat="1" applyFont="1" applyBorder="1" applyAlignment="1">
      <alignment horizontal="center" vertical="center"/>
    </xf>
    <xf numFmtId="164" fontId="20" fillId="18" borderId="3" xfId="11" applyFont="1" applyFill="1" applyBorder="1" applyAlignment="1">
      <alignment vertical="center"/>
    </xf>
    <xf numFmtId="0" fontId="40" fillId="0" borderId="0" xfId="0" applyFont="1" applyAlignment="1">
      <alignment vertical="center"/>
    </xf>
    <xf numFmtId="166" fontId="40" fillId="0" borderId="3" xfId="11" applyNumberFormat="1" applyFont="1" applyBorder="1" applyAlignment="1">
      <alignment vertical="center"/>
    </xf>
    <xf numFmtId="0" fontId="42" fillId="0" borderId="0" xfId="0" applyFont="1" applyAlignment="1">
      <alignment vertical="center"/>
    </xf>
    <xf numFmtId="0" fontId="43" fillId="0" borderId="0" xfId="0" applyFont="1"/>
    <xf numFmtId="4" fontId="43" fillId="0" borderId="0" xfId="0" applyNumberFormat="1" applyFont="1" applyAlignment="1">
      <alignment vertical="center"/>
    </xf>
    <xf numFmtId="0" fontId="43" fillId="0" borderId="0" xfId="0" applyFont="1" applyAlignment="1">
      <alignment vertical="center"/>
    </xf>
    <xf numFmtId="4" fontId="44" fillId="0" borderId="0" xfId="0" applyNumberFormat="1" applyFont="1" applyAlignment="1">
      <alignment vertical="center"/>
    </xf>
    <xf numFmtId="43" fontId="0" fillId="0" borderId="0" xfId="27" applyFont="1" applyAlignment="1">
      <alignment vertical="center"/>
    </xf>
    <xf numFmtId="0" fontId="45" fillId="0" borderId="32" xfId="0" applyFont="1" applyBorder="1" applyAlignment="1">
      <alignment horizontal="center"/>
    </xf>
    <xf numFmtId="0" fontId="45" fillId="0" borderId="24" xfId="0" applyFont="1" applyBorder="1" applyAlignment="1">
      <alignment horizontal="center"/>
    </xf>
    <xf numFmtId="0" fontId="45" fillId="0" borderId="33" xfId="0" applyFont="1" applyBorder="1" applyAlignment="1">
      <alignment horizontal="center"/>
    </xf>
    <xf numFmtId="0" fontId="46" fillId="0" borderId="32" xfId="0" applyFont="1" applyBorder="1"/>
    <xf numFmtId="0" fontId="46" fillId="0" borderId="24" xfId="0" applyFont="1" applyBorder="1"/>
    <xf numFmtId="0" fontId="46" fillId="0" borderId="33" xfId="0" applyFont="1" applyBorder="1"/>
    <xf numFmtId="0" fontId="42" fillId="0" borderId="0" xfId="0" applyFont="1"/>
    <xf numFmtId="0" fontId="47" fillId="0" borderId="32" xfId="0" applyFont="1" applyBorder="1"/>
    <xf numFmtId="0" fontId="47" fillId="0" borderId="24" xfId="0" applyFont="1" applyBorder="1"/>
    <xf numFmtId="0" fontId="47" fillId="18" borderId="33" xfId="0" applyFont="1" applyFill="1" applyBorder="1"/>
    <xf numFmtId="171" fontId="48" fillId="0" borderId="33" xfId="27" applyNumberFormat="1" applyFont="1" applyBorder="1" applyAlignment="1">
      <alignment horizontal="center" vertical="center" wrapText="1"/>
    </xf>
    <xf numFmtId="172" fontId="47" fillId="0" borderId="33" xfId="0" applyNumberFormat="1" applyFont="1" applyBorder="1"/>
    <xf numFmtId="2" fontId="47" fillId="0" borderId="33" xfId="0" applyNumberFormat="1" applyFont="1" applyBorder="1"/>
    <xf numFmtId="172" fontId="47" fillId="18" borderId="33" xfId="0" applyNumberFormat="1" applyFont="1" applyFill="1" applyBorder="1"/>
    <xf numFmtId="0" fontId="47" fillId="0" borderId="33" xfId="0" applyFont="1" applyBorder="1"/>
    <xf numFmtId="173" fontId="47" fillId="18" borderId="33" xfId="0" applyNumberFormat="1" applyFont="1" applyFill="1" applyBorder="1"/>
    <xf numFmtId="0" fontId="47" fillId="0" borderId="34" xfId="0" applyFont="1" applyBorder="1"/>
    <xf numFmtId="0" fontId="47" fillId="0" borderId="35" xfId="0" applyFont="1" applyBorder="1"/>
    <xf numFmtId="172" fontId="47" fillId="0" borderId="36" xfId="0" applyNumberFormat="1" applyFont="1" applyBorder="1"/>
    <xf numFmtId="164" fontId="39" fillId="0" borderId="0" xfId="11" applyFont="1" applyAlignment="1">
      <alignment vertical="center"/>
    </xf>
    <xf numFmtId="0" fontId="11" fillId="21" borderId="24" xfId="0" applyFont="1" applyFill="1" applyBorder="1"/>
    <xf numFmtId="0" fontId="38" fillId="21" borderId="24" xfId="0" applyFont="1" applyFill="1" applyBorder="1" applyAlignment="1">
      <alignment horizontal="center"/>
    </xf>
    <xf numFmtId="0" fontId="11" fillId="21" borderId="24" xfId="0" applyFont="1" applyFill="1" applyBorder="1" applyAlignment="1">
      <alignment horizontal="center"/>
    </xf>
    <xf numFmtId="174" fontId="38" fillId="0" borderId="37" xfId="0" applyNumberFormat="1" applyFont="1" applyBorder="1" applyAlignment="1">
      <alignment horizontal="center"/>
    </xf>
    <xf numFmtId="0" fontId="38" fillId="18" borderId="24" xfId="0" applyFont="1" applyFill="1" applyBorder="1"/>
    <xf numFmtId="2" fontId="11" fillId="0" borderId="24" xfId="0" applyNumberFormat="1" applyFont="1" applyBorder="1"/>
    <xf numFmtId="2" fontId="38" fillId="18" borderId="24" xfId="0" applyNumberFormat="1" applyFont="1" applyFill="1" applyBorder="1"/>
    <xf numFmtId="0" fontId="2" fillId="0" borderId="24" xfId="0" applyFont="1" applyBorder="1"/>
    <xf numFmtId="44" fontId="17" fillId="0" borderId="0" xfId="0" applyNumberFormat="1" applyFont="1" applyAlignment="1">
      <alignment vertical="center"/>
    </xf>
    <xf numFmtId="0" fontId="31" fillId="18" borderId="3" xfId="0" applyFont="1" applyFill="1" applyBorder="1" applyAlignment="1">
      <alignment horizontal="center" vertical="center"/>
    </xf>
    <xf numFmtId="44" fontId="2" fillId="22" borderId="18" xfId="0" applyNumberFormat="1" applyFont="1" applyFill="1" applyBorder="1"/>
    <xf numFmtId="4" fontId="44" fillId="0" borderId="0" xfId="0" applyNumberFormat="1" applyFont="1" applyAlignment="1">
      <alignment horizontal="justify" vertical="center"/>
    </xf>
    <xf numFmtId="4" fontId="11" fillId="0" borderId="24" xfId="0" applyNumberFormat="1" applyFont="1" applyBorder="1" applyAlignment="1">
      <alignment horizontal="center"/>
    </xf>
    <xf numFmtId="0" fontId="39" fillId="10" borderId="3" xfId="0" applyFont="1" applyFill="1" applyBorder="1" applyAlignment="1">
      <alignment horizontal="center" vertical="center"/>
    </xf>
    <xf numFmtId="164" fontId="35" fillId="0" borderId="25" xfId="11" applyFont="1" applyBorder="1" applyAlignment="1">
      <alignment horizontal="left" vertical="center"/>
    </xf>
    <xf numFmtId="164" fontId="35" fillId="0" borderId="26" xfId="11" applyFont="1" applyBorder="1" applyAlignment="1">
      <alignment horizontal="left" vertical="center"/>
    </xf>
    <xf numFmtId="164" fontId="35" fillId="0" borderId="27" xfId="11" applyFont="1" applyBorder="1" applyAlignment="1">
      <alignment horizontal="left" vertical="center"/>
    </xf>
    <xf numFmtId="0" fontId="17" fillId="0" borderId="25" xfId="0" applyFont="1" applyBorder="1" applyAlignment="1">
      <alignment horizontal="left" vertical="center"/>
    </xf>
    <xf numFmtId="0" fontId="17" fillId="0" borderId="26" xfId="0" applyFont="1" applyBorder="1" applyAlignment="1">
      <alignment horizontal="left" vertical="center"/>
    </xf>
    <xf numFmtId="0" fontId="17" fillId="0" borderId="27" xfId="0" applyFont="1" applyBorder="1" applyAlignment="1">
      <alignment horizontal="left" vertical="center"/>
    </xf>
    <xf numFmtId="0" fontId="20" fillId="0" borderId="3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8" fillId="0" borderId="2" xfId="0" applyFont="1" applyBorder="1" applyAlignment="1">
      <alignment horizontal="center" vertical="center" wrapText="1"/>
    </xf>
    <xf numFmtId="164" fontId="16" fillId="9" borderId="3" xfId="11" applyFont="1" applyFill="1" applyBorder="1" applyAlignment="1">
      <alignment horizontal="center" vertical="center"/>
    </xf>
    <xf numFmtId="164" fontId="20" fillId="0" borderId="4" xfId="11" applyFont="1" applyBorder="1" applyAlignment="1">
      <alignment horizontal="left" vertical="center"/>
    </xf>
    <xf numFmtId="164" fontId="20" fillId="0" borderId="3" xfId="11" applyFont="1" applyBorder="1" applyAlignment="1">
      <alignment horizontal="center" vertical="center"/>
    </xf>
    <xf numFmtId="0" fontId="37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0" fillId="0" borderId="0" xfId="0"/>
    <xf numFmtId="0" fontId="32" fillId="9" borderId="3" xfId="0" applyFont="1" applyFill="1" applyBorder="1" applyAlignment="1">
      <alignment horizontal="center" vertical="center"/>
    </xf>
    <xf numFmtId="0" fontId="32" fillId="16" borderId="3" xfId="0" applyFont="1" applyFill="1" applyBorder="1" applyAlignment="1">
      <alignment horizontal="center"/>
    </xf>
    <xf numFmtId="0" fontId="16" fillId="16" borderId="7" xfId="0" applyFont="1" applyFill="1" applyBorder="1" applyAlignment="1">
      <alignment horizontal="center" vertical="center"/>
    </xf>
    <xf numFmtId="9" fontId="33" fillId="0" borderId="3" xfId="13" applyFont="1" applyBorder="1" applyAlignment="1">
      <alignment horizontal="center"/>
    </xf>
    <xf numFmtId="0" fontId="31" fillId="0" borderId="3" xfId="0" applyFont="1" applyBorder="1" applyAlignment="1">
      <alignment horizontal="center" vertical="center"/>
    </xf>
    <xf numFmtId="0" fontId="16" fillId="16" borderId="4" xfId="0" applyFont="1" applyFill="1" applyBorder="1" applyAlignment="1">
      <alignment horizontal="center" vertical="center"/>
    </xf>
    <xf numFmtId="0" fontId="45" fillId="20" borderId="29" xfId="0" applyFont="1" applyFill="1" applyBorder="1" applyAlignment="1">
      <alignment horizontal="center"/>
    </xf>
    <xf numFmtId="0" fontId="45" fillId="20" borderId="30" xfId="0" applyFont="1" applyFill="1" applyBorder="1" applyAlignment="1">
      <alignment horizontal="center"/>
    </xf>
    <xf numFmtId="0" fontId="45" fillId="20" borderId="3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38" fillId="0" borderId="25" xfId="0" applyFont="1" applyBorder="1" applyAlignment="1">
      <alignment horizontal="center"/>
    </xf>
    <xf numFmtId="0" fontId="38" fillId="0" borderId="26" xfId="0" applyFont="1" applyBorder="1" applyAlignment="1">
      <alignment horizontal="center"/>
    </xf>
    <xf numFmtId="0" fontId="38" fillId="0" borderId="27" xfId="0" applyFont="1" applyBorder="1" applyAlignment="1">
      <alignment horizontal="center"/>
    </xf>
    <xf numFmtId="0" fontId="38" fillId="0" borderId="24" xfId="0" applyFont="1" applyBorder="1" applyAlignment="1">
      <alignment horizontal="center"/>
    </xf>
    <xf numFmtId="9" fontId="0" fillId="0" borderId="0" xfId="0" applyNumberFormat="1"/>
    <xf numFmtId="164" fontId="0" fillId="0" borderId="2" xfId="0" applyNumberFormat="1" applyBorder="1" applyAlignment="1">
      <alignment vertical="center"/>
    </xf>
    <xf numFmtId="9" fontId="0" fillId="0" borderId="0" xfId="0" applyNumberFormat="1" applyAlignment="1">
      <alignment horizontal="center"/>
    </xf>
  </cellXfs>
  <cellStyles count="28">
    <cellStyle name="Accent" xfId="1" xr:uid="{00000000-0005-0000-0000-000000000000}"/>
    <cellStyle name="Accent 1" xfId="2" xr:uid="{00000000-0005-0000-0000-000001000000}"/>
    <cellStyle name="Accent 2" xfId="3" xr:uid="{00000000-0005-0000-0000-000002000000}"/>
    <cellStyle name="Accent 3" xfId="4" xr:uid="{00000000-0005-0000-0000-000003000000}"/>
    <cellStyle name="Bad" xfId="5" xr:uid="{00000000-0005-0000-0000-000004000000}"/>
    <cellStyle name="cf1" xfId="6" xr:uid="{00000000-0005-0000-0000-000005000000}"/>
    <cellStyle name="cf2" xfId="7" xr:uid="{00000000-0005-0000-0000-000006000000}"/>
    <cellStyle name="cf3" xfId="8" xr:uid="{00000000-0005-0000-0000-000007000000}"/>
    <cellStyle name="ConditionalStyle_1" xfId="9" xr:uid="{00000000-0005-0000-0000-000008000000}"/>
    <cellStyle name="Error" xfId="10" xr:uid="{00000000-0005-0000-0000-000009000000}"/>
    <cellStyle name="Excel Built-in Comma" xfId="11" xr:uid="{00000000-0005-0000-0000-00000A000000}"/>
    <cellStyle name="Excel Built-in Hyperlink" xfId="12" xr:uid="{00000000-0005-0000-0000-00000B000000}"/>
    <cellStyle name="Excel Built-in Percent" xfId="13" xr:uid="{00000000-0005-0000-0000-00000C000000}"/>
    <cellStyle name="Footnote" xfId="14" xr:uid="{00000000-0005-0000-0000-00000D000000}"/>
    <cellStyle name="Good" xfId="15" xr:uid="{00000000-0005-0000-0000-00000E000000}"/>
    <cellStyle name="Heading" xfId="16" xr:uid="{00000000-0005-0000-0000-00000F000000}"/>
    <cellStyle name="Heading 1" xfId="17" xr:uid="{00000000-0005-0000-0000-000010000000}"/>
    <cellStyle name="Heading 2" xfId="18" xr:uid="{00000000-0005-0000-0000-000011000000}"/>
    <cellStyle name="Hyperlink" xfId="19" xr:uid="{00000000-0005-0000-0000-000012000000}"/>
    <cellStyle name="Moeda" xfId="26" builtinId="4"/>
    <cellStyle name="Neutral" xfId="20" xr:uid="{00000000-0005-0000-0000-000013000000}"/>
    <cellStyle name="Normal" xfId="0" builtinId="0" customBuiltin="1"/>
    <cellStyle name="Note" xfId="21" xr:uid="{00000000-0005-0000-0000-000015000000}"/>
    <cellStyle name="Result" xfId="22" xr:uid="{00000000-0005-0000-0000-000016000000}"/>
    <cellStyle name="Status" xfId="23" xr:uid="{00000000-0005-0000-0000-000017000000}"/>
    <cellStyle name="Text" xfId="24" xr:uid="{00000000-0005-0000-0000-000018000000}"/>
    <cellStyle name="Vírgula" xfId="27" builtinId="3"/>
    <cellStyle name="Warning" xfId="25" xr:uid="{00000000-0005-0000-0000-000019000000}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1476375</xdr:colOff>
      <xdr:row>0</xdr:row>
      <xdr:rowOff>0</xdr:rowOff>
    </xdr:from>
    <xdr:to>
      <xdr:col>4</xdr:col>
      <xdr:colOff>485140</xdr:colOff>
      <xdr:row>1</xdr:row>
      <xdr:rowOff>9525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72F15481-F16E-E7ED-FFB9-CE81BFDE1382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476375" y="0"/>
          <a:ext cx="4733290" cy="895350"/>
        </a:xfrm>
        <a:prstGeom prst="rect">
          <a:avLst/>
        </a:prstGeom>
        <a:noFill/>
        <a:ln>
          <a:noFill/>
          <a:prstDash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1219200</xdr:colOff>
      <xdr:row>0</xdr:row>
      <xdr:rowOff>0</xdr:rowOff>
    </xdr:from>
    <xdr:to>
      <xdr:col>4</xdr:col>
      <xdr:colOff>666115</xdr:colOff>
      <xdr:row>5</xdr:row>
      <xdr:rowOff>19050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E1438605-8072-909C-6A34-D195119F04ED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219200" y="0"/>
          <a:ext cx="4733290" cy="895350"/>
        </a:xfrm>
        <a:prstGeom prst="rect">
          <a:avLst/>
        </a:prstGeom>
        <a:noFill/>
        <a:ln>
          <a:noFill/>
          <a:prstDash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895350</xdr:colOff>
      <xdr:row>0</xdr:row>
      <xdr:rowOff>47625</xdr:rowOff>
    </xdr:from>
    <xdr:to>
      <xdr:col>4</xdr:col>
      <xdr:colOff>256540</xdr:colOff>
      <xdr:row>3</xdr:row>
      <xdr:rowOff>390525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1B3726A8-086C-DDBE-94D7-D328D9EFB19F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95350" y="47625"/>
          <a:ext cx="4733290" cy="895350"/>
        </a:xfrm>
        <a:prstGeom prst="rect">
          <a:avLst/>
        </a:prstGeom>
        <a:noFill/>
        <a:ln>
          <a:noFill/>
          <a:prstDash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133200</xdr:colOff>
      <xdr:row>4</xdr:row>
      <xdr:rowOff>52916</xdr:rowOff>
    </xdr:from>
    <xdr:ext cx="1284475" cy="337322"/>
    <xdr:pic>
      <xdr:nvPicPr>
        <xdr:cNvPr id="2" name="Picture 2">
          <a:extLst>
            <a:ext uri="{FF2B5EF4-FFF2-40B4-BE49-F238E27FC236}">
              <a16:creationId xmlns:a16="http://schemas.microsoft.com/office/drawing/2014/main" id="{2EE0BD39-B470-4B0D-A80E-F9F2148E7E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133200" y="776816"/>
          <a:ext cx="1284475" cy="337322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0</xdr:col>
      <xdr:colOff>85679</xdr:colOff>
      <xdr:row>7</xdr:row>
      <xdr:rowOff>14401</xdr:rowOff>
    </xdr:from>
    <xdr:ext cx="2036880" cy="366838"/>
    <xdr:pic>
      <xdr:nvPicPr>
        <xdr:cNvPr id="3" name="Picture 1">
          <a:extLst>
            <a:ext uri="{FF2B5EF4-FFF2-40B4-BE49-F238E27FC236}">
              <a16:creationId xmlns:a16="http://schemas.microsoft.com/office/drawing/2014/main" id="{FE7EBCCD-E589-40E0-AB9F-0523059EE0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lum/>
          <a:alphaModFix/>
        </a:blip>
        <a:srcRect/>
        <a:stretch>
          <a:fillRect/>
        </a:stretch>
      </xdr:blipFill>
      <xdr:spPr>
        <a:xfrm>
          <a:off x="85679" y="1241221"/>
          <a:ext cx="2036880" cy="366838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685800</xdr:colOff>
      <xdr:row>0</xdr:row>
      <xdr:rowOff>104775</xdr:rowOff>
    </xdr:from>
    <xdr:to>
      <xdr:col>5</xdr:col>
      <xdr:colOff>847090</xdr:colOff>
      <xdr:row>2</xdr:row>
      <xdr:rowOff>676275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B93DC7E-89D3-4869-8DBC-8D34B268B63C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295400" y="104775"/>
          <a:ext cx="4733290" cy="895350"/>
        </a:xfrm>
        <a:prstGeom prst="rect">
          <a:avLst/>
        </a:prstGeom>
        <a:noFill/>
        <a:ln>
          <a:noFill/>
          <a:prstDash/>
        </a:ln>
      </xdr:spPr>
    </xdr:pic>
    <xdr:clientData/>
  </xdr:twoCellAnchor>
  <xdr:twoCellAnchor editAs="oneCell">
    <xdr:from>
      <xdr:col>1</xdr:col>
      <xdr:colOff>257175</xdr:colOff>
      <xdr:row>22</xdr:row>
      <xdr:rowOff>104775</xdr:rowOff>
    </xdr:from>
    <xdr:to>
      <xdr:col>4</xdr:col>
      <xdr:colOff>1313815</xdr:colOff>
      <xdr:row>22</xdr:row>
      <xdr:rowOff>1000125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F25FDEAF-3931-45AB-A512-9A91F4CCD0B1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66775" y="5391150"/>
          <a:ext cx="4733290" cy="895350"/>
        </a:xfrm>
        <a:prstGeom prst="rect">
          <a:avLst/>
        </a:prstGeom>
        <a:noFill/>
        <a:ln>
          <a:noFill/>
          <a:prstDash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L361"/>
  <sheetViews>
    <sheetView view="pageBreakPreview" topLeftCell="A9" zoomScaleNormal="100" zoomScaleSheetLayoutView="100" workbookViewId="0">
      <selection activeCell="D41" sqref="D41"/>
    </sheetView>
  </sheetViews>
  <sheetFormatPr defaultRowHeight="12.75"/>
  <cols>
    <col min="1" max="1" width="44.85546875" style="3" customWidth="1"/>
    <col min="2" max="2" width="15" style="3" customWidth="1"/>
    <col min="3" max="3" width="11.42578125" style="3" customWidth="1"/>
    <col min="4" max="4" width="14.5703125" style="2" customWidth="1"/>
    <col min="5" max="5" width="15.7109375" style="2" customWidth="1"/>
    <col min="6" max="6" width="13.5703125" style="2" customWidth="1"/>
    <col min="7" max="7" width="23.85546875" style="2" customWidth="1"/>
    <col min="8" max="8" width="13.85546875" style="3" customWidth="1"/>
    <col min="9" max="9" width="15" style="3" customWidth="1"/>
    <col min="10" max="10" width="13.7109375" style="3" customWidth="1"/>
    <col min="11" max="64" width="9.42578125" style="3" customWidth="1"/>
    <col min="65" max="65" width="8.85546875" customWidth="1"/>
  </cols>
  <sheetData>
    <row r="1" spans="1:64" ht="69.75" customHeight="1">
      <c r="A1" s="326" t="s">
        <v>0</v>
      </c>
      <c r="B1" s="326"/>
      <c r="C1" s="326"/>
      <c r="D1" s="326"/>
      <c r="E1" s="326"/>
      <c r="F1" s="326"/>
    </row>
    <row r="2" spans="1:64" ht="55.5" customHeight="1">
      <c r="A2" s="327" t="s">
        <v>333</v>
      </c>
      <c r="B2" s="327"/>
      <c r="C2" s="327"/>
      <c r="D2" s="327"/>
      <c r="E2" s="327"/>
      <c r="F2" s="327"/>
      <c r="G2" s="4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</row>
    <row r="3" spans="1:64" ht="15.75" customHeight="1">
      <c r="A3" s="328" t="s">
        <v>1</v>
      </c>
      <c r="B3" s="328"/>
      <c r="C3" s="328"/>
      <c r="D3" s="328"/>
      <c r="E3" s="328"/>
      <c r="F3" s="328"/>
      <c r="G3" s="4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</row>
    <row r="4" spans="1:64" ht="15.75" customHeight="1">
      <c r="A4" s="6" t="s">
        <v>2</v>
      </c>
      <c r="B4" s="7"/>
      <c r="C4" s="7">
        <f>('1_1_Coleta_ALT_TEMP'!E38)+3.391</f>
        <v>1015535.2301134294</v>
      </c>
      <c r="D4" s="8"/>
      <c r="E4" s="9" t="s">
        <v>3</v>
      </c>
      <c r="F4" s="10" t="s">
        <v>4</v>
      </c>
      <c r="G4" s="4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</row>
    <row r="5" spans="1:64" ht="15.75" customHeight="1">
      <c r="A5" s="9" t="str">
        <f>A49</f>
        <v>1. Mão-de-obra</v>
      </c>
      <c r="B5" s="11"/>
      <c r="C5" s="8"/>
      <c r="D5" s="8"/>
      <c r="E5" s="12">
        <f ca="1">+F121</f>
        <v>161170.69910306521</v>
      </c>
      <c r="F5" s="13">
        <f t="shared" ref="F5:F30" ca="1" si="0">IFERROR(E5/$E$31,0)</f>
        <v>0.48323231482783241</v>
      </c>
      <c r="G5" s="14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</row>
    <row r="6" spans="1:64" ht="15.75" customHeight="1">
      <c r="A6" s="16" t="str">
        <f>A51</f>
        <v>1.1. Coletor Turno Dia</v>
      </c>
      <c r="B6" s="17"/>
      <c r="C6" s="7">
        <f>('1_1_Coleta_SELETIVA'!E29)-0.007</f>
        <v>83585.159029516755</v>
      </c>
      <c r="D6" s="7"/>
      <c r="E6" s="18">
        <f>F62</f>
        <v>102135.70151034411</v>
      </c>
      <c r="F6" s="19">
        <f t="shared" ca="1" si="0"/>
        <v>0.30622980319671184</v>
      </c>
      <c r="G6" s="4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</row>
    <row r="7" spans="1:64" ht="15.75" customHeight="1">
      <c r="A7" s="16" t="str">
        <f>A65</f>
        <v>1.2. Motorista Turno do Dia</v>
      </c>
      <c r="B7" s="17"/>
      <c r="C7" s="7"/>
      <c r="D7" s="7"/>
      <c r="E7" s="18">
        <f>F78</f>
        <v>38638.861780810497</v>
      </c>
      <c r="F7" s="19">
        <f t="shared" ca="1" si="0"/>
        <v>0.11584951064035322</v>
      </c>
      <c r="G7" s="4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</row>
    <row r="8" spans="1:64" ht="15.75" customHeight="1">
      <c r="A8" s="16" t="str">
        <f>A81</f>
        <v>1.3 Responsável Técnico</v>
      </c>
      <c r="B8" s="17"/>
      <c r="C8" s="7"/>
      <c r="D8" s="7"/>
      <c r="E8" s="18">
        <f>F96</f>
        <v>2192.5326119105921</v>
      </c>
      <c r="F8" s="19">
        <f t="shared" ca="1" si="0"/>
        <v>6.5737917331458598E-3</v>
      </c>
      <c r="G8" s="4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</row>
    <row r="9" spans="1:64" ht="15.75" customHeight="1">
      <c r="A9" s="16" t="str">
        <f>A98</f>
        <v>1.4. Vale Transporte</v>
      </c>
      <c r="B9" s="17"/>
      <c r="C9" s="7"/>
      <c r="D9" s="7"/>
      <c r="E9" s="18">
        <f>F105</f>
        <v>3694.9032000000011</v>
      </c>
      <c r="F9" s="19">
        <f t="shared" ca="1" si="0"/>
        <v>1.1078295473912285E-2</v>
      </c>
      <c r="G9" s="4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</row>
    <row r="10" spans="1:64" ht="15.75" customHeight="1">
      <c r="A10" s="16" t="str">
        <f>A107</f>
        <v>1.5. Vale-refeição (diário)</v>
      </c>
      <c r="B10" s="17"/>
      <c r="C10" s="7"/>
      <c r="D10" s="7"/>
      <c r="E10" s="18">
        <f ca="1">F112</f>
        <v>13846.3</v>
      </c>
      <c r="F10" s="19">
        <f t="shared" ca="1" si="0"/>
        <v>4.1514863669617E-2</v>
      </c>
      <c r="G10" s="4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</row>
    <row r="11" spans="1:64" ht="15.75" customHeight="1">
      <c r="A11" s="16" t="str">
        <f>A114</f>
        <v>1.6. Auxílio Alimentação (mensal)</v>
      </c>
      <c r="B11" s="17"/>
      <c r="C11" s="7"/>
      <c r="D11" s="7"/>
      <c r="E11" s="18">
        <f>F118</f>
        <v>662.40000000000009</v>
      </c>
      <c r="F11" s="19">
        <f t="shared" ca="1" si="0"/>
        <v>1.9860501140921624E-3</v>
      </c>
      <c r="G11" s="4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</row>
    <row r="12" spans="1:64" ht="15.75" customHeight="1">
      <c r="A12" s="329" t="str">
        <f>A123</f>
        <v>2. Uniformes e Equipamentos de Proteção Individual</v>
      </c>
      <c r="B12" s="329"/>
      <c r="C12" s="329"/>
      <c r="D12" s="8"/>
      <c r="E12" s="12">
        <f>+F153</f>
        <v>5023.5349999999999</v>
      </c>
      <c r="F12" s="13">
        <f t="shared" ca="1" si="0"/>
        <v>1.5061884450326041E-2</v>
      </c>
      <c r="G12" s="14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</row>
    <row r="13" spans="1:64" ht="15.75" customHeight="1">
      <c r="A13" s="20" t="str">
        <f>A155</f>
        <v>3. Veículos e Equipamentos</v>
      </c>
      <c r="B13" s="21"/>
      <c r="C13" s="8"/>
      <c r="D13" s="8"/>
      <c r="E13" s="12">
        <f>+F291</f>
        <v>100352.94192358927</v>
      </c>
      <c r="F13" s="13">
        <f t="shared" ca="1" si="0"/>
        <v>0.30088461919811077</v>
      </c>
      <c r="G13" s="14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</row>
    <row r="14" spans="1:64" ht="15.75" customHeight="1">
      <c r="A14" s="22" t="str">
        <f>A157</f>
        <v>3.1. Veículo Coletor Compactador 12 m³</v>
      </c>
      <c r="B14" s="23"/>
      <c r="C14" s="7"/>
      <c r="D14" s="7"/>
      <c r="E14" s="18">
        <f>SUM(E15:E20)</f>
        <v>98429.055749464285</v>
      </c>
      <c r="F14" s="24">
        <f t="shared" ca="1" si="0"/>
        <v>0.29511630042452797</v>
      </c>
      <c r="G14" s="4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</row>
    <row r="15" spans="1:64" ht="15.75" customHeight="1">
      <c r="A15" s="22" t="str">
        <f>A159</f>
        <v>3.1.1. Depreciação</v>
      </c>
      <c r="B15" s="23"/>
      <c r="C15" s="7"/>
      <c r="D15" s="7"/>
      <c r="E15" s="18">
        <f>F173</f>
        <v>24008.979672500001</v>
      </c>
      <c r="F15" s="24">
        <f t="shared" ca="1" si="0"/>
        <v>7.1985260896444789E-2</v>
      </c>
      <c r="G15" s="4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</row>
    <row r="16" spans="1:64" ht="15.75" customHeight="1">
      <c r="A16" s="22" t="str">
        <f>A177</f>
        <v>3.1.2. Remuneração do Capital</v>
      </c>
      <c r="B16" s="23"/>
      <c r="C16" s="7"/>
      <c r="D16" s="7"/>
      <c r="E16" s="18">
        <f>F191</f>
        <v>19238.861741249995</v>
      </c>
      <c r="F16" s="24">
        <f t="shared" ca="1" si="0"/>
        <v>5.7683187735828631E-2</v>
      </c>
      <c r="G16" s="4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</row>
    <row r="17" spans="1:64" ht="15.75" customHeight="1">
      <c r="A17" s="22" t="str">
        <f>A195</f>
        <v>3.1.3. Impostos e Seguros</v>
      </c>
      <c r="B17" s="23"/>
      <c r="C17" s="7"/>
      <c r="D17" s="7"/>
      <c r="E17" s="18">
        <f>F201</f>
        <v>4063.1237500000002</v>
      </c>
      <c r="F17" s="24">
        <f t="shared" ca="1" si="0"/>
        <v>1.2182317915546609E-2</v>
      </c>
      <c r="G17" s="4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</row>
    <row r="18" spans="1:64" ht="15.75" customHeight="1">
      <c r="A18" s="22" t="str">
        <f>A203</f>
        <v>3.1.4. Consumos</v>
      </c>
      <c r="B18" s="23"/>
      <c r="C18" s="7"/>
      <c r="D18" s="7"/>
      <c r="E18" s="18">
        <f>F219</f>
        <v>35633.976300000002</v>
      </c>
      <c r="F18" s="24">
        <f t="shared" ca="1" si="0"/>
        <v>0.10684007049542936</v>
      </c>
      <c r="G18" s="4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</row>
    <row r="19" spans="1:64" ht="15.75" customHeight="1">
      <c r="A19" s="22" t="str">
        <f>A221</f>
        <v>3.1.5. Manutenção</v>
      </c>
      <c r="B19" s="23"/>
      <c r="C19" s="7"/>
      <c r="D19" s="7"/>
      <c r="E19" s="18">
        <f>F224</f>
        <v>11934</v>
      </c>
      <c r="F19" s="24">
        <f t="shared" ca="1" si="0"/>
        <v>3.5781283305519114E-2</v>
      </c>
      <c r="G19" s="4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</row>
    <row r="20" spans="1:64" ht="15.75" customHeight="1">
      <c r="A20" s="22" t="str">
        <f>A226</f>
        <v>3.1.6. Pneus</v>
      </c>
      <c r="B20" s="23"/>
      <c r="C20" s="7"/>
      <c r="D20" s="7"/>
      <c r="E20" s="18">
        <f>F233</f>
        <v>3550.1142857142854</v>
      </c>
      <c r="F20" s="24">
        <f t="shared" ca="1" si="0"/>
        <v>1.0644180075759468E-2</v>
      </c>
      <c r="G20" s="4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</row>
    <row r="21" spans="1:64" ht="15.75" hidden="1" customHeight="1">
      <c r="A21" s="22" t="s">
        <v>5</v>
      </c>
      <c r="B21" s="23"/>
      <c r="C21" s="7"/>
      <c r="D21" s="7"/>
      <c r="E21" s="18">
        <f>SUM(E22:E27)</f>
        <v>0</v>
      </c>
      <c r="F21" s="24">
        <f t="shared" ca="1" si="0"/>
        <v>0</v>
      </c>
      <c r="G21" s="4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</row>
    <row r="22" spans="1:64" ht="15.75" hidden="1" customHeight="1">
      <c r="A22" s="22" t="s">
        <v>6</v>
      </c>
      <c r="B22" s="23"/>
      <c r="C22" s="7"/>
      <c r="D22" s="7"/>
      <c r="E22" s="18">
        <f>F246</f>
        <v>0</v>
      </c>
      <c r="F22" s="24">
        <f t="shared" ca="1" si="0"/>
        <v>0</v>
      </c>
      <c r="G22" s="4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</row>
    <row r="23" spans="1:64" ht="15.75" hidden="1" customHeight="1">
      <c r="A23" s="22" t="s">
        <v>7</v>
      </c>
      <c r="B23" s="23"/>
      <c r="C23" s="7"/>
      <c r="D23" s="7"/>
      <c r="E23" s="18">
        <f>F257</f>
        <v>0</v>
      </c>
      <c r="F23" s="24">
        <f t="shared" ca="1" si="0"/>
        <v>0</v>
      </c>
      <c r="G23" s="4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</row>
    <row r="24" spans="1:64" ht="15.75" hidden="1" customHeight="1">
      <c r="A24" s="22" t="s">
        <v>8</v>
      </c>
      <c r="B24" s="23"/>
      <c r="C24" s="7"/>
      <c r="D24" s="7"/>
      <c r="E24" s="18">
        <f>F265</f>
        <v>0</v>
      </c>
      <c r="F24" s="24">
        <f t="shared" ca="1" si="0"/>
        <v>0</v>
      </c>
      <c r="G24" s="4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</row>
    <row r="25" spans="1:64" ht="15.75" hidden="1" customHeight="1">
      <c r="A25" s="22" t="s">
        <v>9</v>
      </c>
      <c r="B25" s="23"/>
      <c r="C25" s="7"/>
      <c r="D25" s="7"/>
      <c r="E25" s="18">
        <f>F276</f>
        <v>0</v>
      </c>
      <c r="F25" s="24">
        <f t="shared" ca="1" si="0"/>
        <v>0</v>
      </c>
      <c r="G25" s="4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</row>
    <row r="26" spans="1:64" ht="15.75" hidden="1" customHeight="1">
      <c r="A26" s="22" t="s">
        <v>10</v>
      </c>
      <c r="B26" s="23"/>
      <c r="C26" s="7"/>
      <c r="D26" s="7"/>
      <c r="E26" s="18">
        <f>F281</f>
        <v>0</v>
      </c>
      <c r="F26" s="24">
        <f t="shared" ca="1" si="0"/>
        <v>0</v>
      </c>
      <c r="G26" s="4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</row>
    <row r="27" spans="1:64" ht="15.75" hidden="1" customHeight="1">
      <c r="A27" s="22" t="s">
        <v>11</v>
      </c>
      <c r="B27" s="23"/>
      <c r="C27" s="7"/>
      <c r="D27" s="7"/>
      <c r="E27" s="18">
        <f>F288</f>
        <v>0</v>
      </c>
      <c r="F27" s="24">
        <f t="shared" ca="1" si="0"/>
        <v>0</v>
      </c>
      <c r="G27" s="4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</row>
    <row r="28" spans="1:64" ht="15.75" customHeight="1">
      <c r="A28" s="20" t="str">
        <f>A293</f>
        <v>4. Ferramentas e Materiais de Consumo</v>
      </c>
      <c r="B28" s="21"/>
      <c r="C28" s="8"/>
      <c r="D28" s="8"/>
      <c r="E28" s="12">
        <f>+F303</f>
        <v>51.395000000000017</v>
      </c>
      <c r="F28" s="13">
        <f t="shared" ca="1" si="0"/>
        <v>1.5409578142174926E-4</v>
      </c>
      <c r="G28" s="14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</row>
    <row r="29" spans="1:64" ht="15.75" customHeight="1">
      <c r="A29" s="20" t="str">
        <f>A305</f>
        <v>5. Monitoramento da Frota</v>
      </c>
      <c r="B29" s="21"/>
      <c r="C29" s="8"/>
      <c r="D29" s="8"/>
      <c r="E29" s="12">
        <f>+F314</f>
        <v>457.5</v>
      </c>
      <c r="F29" s="13">
        <f t="shared" ca="1" si="0"/>
        <v>1.3717058079667334E-3</v>
      </c>
      <c r="G29" s="14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</row>
    <row r="30" spans="1:64" ht="15.75" customHeight="1">
      <c r="A30" s="20" t="str">
        <f>A318</f>
        <v>6. Benefícios e Despesas Indiretas - BDI</v>
      </c>
      <c r="B30" s="21"/>
      <c r="C30" s="8"/>
      <c r="D30" s="8"/>
      <c r="E30" s="12">
        <f ca="1">+F324</f>
        <v>66470.256078534308</v>
      </c>
      <c r="F30" s="13">
        <f t="shared" ca="1" si="0"/>
        <v>0.19929537993434224</v>
      </c>
      <c r="G30" s="14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</row>
    <row r="31" spans="1:64" ht="15.75" customHeight="1">
      <c r="A31" s="20" t="s">
        <v>12</v>
      </c>
      <c r="B31" s="21"/>
      <c r="C31" s="8"/>
      <c r="D31" s="8"/>
      <c r="E31" s="25">
        <f ca="1">E5+E12+E13+E28+E29+E30</f>
        <v>333526.3271051888</v>
      </c>
      <c r="F31" s="26">
        <f ca="1">F5+F12+F13+F28+F29+F30</f>
        <v>0.99999999999999989</v>
      </c>
      <c r="G31" s="4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</row>
    <row r="34" spans="1:64" ht="15" customHeight="1">
      <c r="A34" s="328" t="s">
        <v>13</v>
      </c>
      <c r="B34" s="328"/>
      <c r="C34" s="328"/>
      <c r="D34" s="328"/>
      <c r="E34" s="328"/>
      <c r="G34" s="4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</row>
    <row r="35" spans="1:64" ht="15" customHeight="1">
      <c r="A35" s="330" t="s">
        <v>14</v>
      </c>
      <c r="B35" s="330"/>
      <c r="C35" s="330"/>
      <c r="D35" s="330"/>
      <c r="E35" s="27" t="s">
        <v>15</v>
      </c>
      <c r="G35" s="4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</row>
    <row r="36" spans="1:64" ht="15" customHeight="1">
      <c r="A36" s="28" t="str">
        <f>+A51</f>
        <v>1.1. Coletor Turno Dia</v>
      </c>
      <c r="B36" s="29"/>
      <c r="C36" s="29"/>
      <c r="D36" s="30"/>
      <c r="E36" s="31">
        <f>C61</f>
        <v>18</v>
      </c>
      <c r="G36" s="4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</row>
    <row r="37" spans="1:64" ht="15" customHeight="1">
      <c r="A37" s="28" t="str">
        <f>+A65</f>
        <v>1.2. Motorista Turno do Dia</v>
      </c>
      <c r="B37" s="29"/>
      <c r="C37" s="29"/>
      <c r="D37" s="17">
        <f>SUM(D35:D36,D9,D11,D13,D15,D17,D19,D21,D23,D25,D27,D29,D31,D33)+0.01</f>
        <v>0.01</v>
      </c>
      <c r="E37" s="31">
        <f ca="1">SUM(E9,E11,E13,E15,E17,E19,E21,E23,E25,E27,E29,E31,E33,E35)+0.01</f>
        <v>478700.18565127812</v>
      </c>
      <c r="G37" s="4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</row>
    <row r="38" spans="1:64" ht="15" customHeight="1">
      <c r="A38" s="28" t="s">
        <v>363</v>
      </c>
      <c r="B38" s="29"/>
      <c r="C38" s="29"/>
      <c r="D38" s="30"/>
      <c r="E38" s="240">
        <v>1</v>
      </c>
      <c r="G38" s="4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</row>
    <row r="39" spans="1:64" ht="15" customHeight="1">
      <c r="A39" s="32" t="s">
        <v>16</v>
      </c>
      <c r="B39" s="33"/>
      <c r="C39" s="33"/>
      <c r="D39" s="34"/>
      <c r="E39" s="35">
        <f ca="1">SUM(E36:E38)</f>
        <v>25</v>
      </c>
      <c r="G39" s="4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</row>
    <row r="40" spans="1:64" ht="15" customHeight="1">
      <c r="A40" s="36"/>
      <c r="B40" s="37"/>
      <c r="C40" s="2"/>
      <c r="E40" s="38"/>
      <c r="G40" s="4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</row>
    <row r="41" spans="1:64" ht="15" customHeight="1">
      <c r="A41" s="325" t="s">
        <v>17</v>
      </c>
      <c r="B41" s="325"/>
      <c r="C41" s="325"/>
      <c r="D41" s="325"/>
      <c r="E41" s="27" t="s">
        <v>15</v>
      </c>
      <c r="F41" s="3"/>
      <c r="G41" s="4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</row>
    <row r="42" spans="1:64" ht="15" customHeight="1">
      <c r="A42" s="28" t="str">
        <f>+A157</f>
        <v>3.1. Veículo Coletor Compactador 12 m³</v>
      </c>
      <c r="B42" s="29"/>
      <c r="C42" s="29"/>
      <c r="D42" s="40"/>
      <c r="E42" s="31">
        <v>6</v>
      </c>
      <c r="F42" s="3"/>
      <c r="G42" s="4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</row>
    <row r="43" spans="1:64" ht="15" customHeight="1">
      <c r="A43" s="16" t="s">
        <v>396</v>
      </c>
      <c r="B43" s="29"/>
      <c r="C43" s="29"/>
      <c r="D43" s="40"/>
      <c r="E43" s="31">
        <v>1</v>
      </c>
      <c r="F43" s="3"/>
      <c r="G43" s="4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</row>
    <row r="44" spans="1:64" ht="15" hidden="1" customHeight="1">
      <c r="A44" s="28" t="s">
        <v>18</v>
      </c>
      <c r="B44" s="29"/>
      <c r="C44" s="29"/>
      <c r="D44" s="40"/>
      <c r="E44" s="31">
        <v>0</v>
      </c>
      <c r="F44" s="3"/>
      <c r="G44" s="4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</row>
    <row r="45" spans="1:64" ht="15" customHeight="1">
      <c r="A45" s="2"/>
      <c r="B45" s="2"/>
      <c r="C45" s="2"/>
      <c r="D45" s="3"/>
      <c r="E45" s="41"/>
      <c r="F45" s="3"/>
      <c r="G45" s="4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</row>
    <row r="46" spans="1:64">
      <c r="A46" s="2"/>
      <c r="B46" s="2"/>
      <c r="C46" s="2"/>
      <c r="D46" s="3"/>
      <c r="E46" s="42"/>
      <c r="F46" s="3"/>
      <c r="G46" s="4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</row>
    <row r="47" spans="1:64" ht="15.75" customHeight="1">
      <c r="A47" s="9" t="s">
        <v>19</v>
      </c>
      <c r="B47" s="43">
        <v>1</v>
      </c>
      <c r="C47" s="14"/>
      <c r="D47" s="15"/>
      <c r="E47" s="44"/>
      <c r="F47" s="15"/>
      <c r="G47" s="14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  <c r="BF47" s="15"/>
      <c r="BG47" s="15"/>
      <c r="BH47" s="15"/>
      <c r="BI47" s="15"/>
      <c r="BJ47" s="15"/>
      <c r="BK47" s="15"/>
      <c r="BL47" s="15"/>
    </row>
    <row r="48" spans="1:64" ht="15.75" customHeight="1">
      <c r="A48" s="2"/>
      <c r="B48" s="2"/>
      <c r="C48" s="2"/>
      <c r="D48" s="3"/>
      <c r="E48" s="42"/>
      <c r="F48" s="3"/>
      <c r="G48" s="4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</row>
    <row r="49" spans="1:7" ht="13.15" customHeight="1">
      <c r="A49" s="15" t="s">
        <v>20</v>
      </c>
    </row>
    <row r="50" spans="1:7" ht="11.25" customHeight="1"/>
    <row r="51" spans="1:7" ht="13.9" customHeight="1">
      <c r="A51" s="3" t="s">
        <v>21</v>
      </c>
    </row>
    <row r="52" spans="1:7" ht="13.9" customHeight="1">
      <c r="A52" s="45" t="s">
        <v>22</v>
      </c>
      <c r="B52" s="45" t="s">
        <v>23</v>
      </c>
      <c r="C52" s="45" t="s">
        <v>15</v>
      </c>
      <c r="D52" s="46" t="s">
        <v>24</v>
      </c>
      <c r="E52" s="46" t="s">
        <v>25</v>
      </c>
      <c r="F52" s="46" t="s">
        <v>26</v>
      </c>
    </row>
    <row r="53" spans="1:7" ht="13.15" customHeight="1">
      <c r="A53" s="47" t="s">
        <v>27</v>
      </c>
      <c r="B53" s="48" t="s">
        <v>28</v>
      </c>
      <c r="C53" s="48">
        <v>1</v>
      </c>
      <c r="D53" s="49">
        <v>2082.31</v>
      </c>
      <c r="E53" s="50">
        <f>C53*D53</f>
        <v>2082.31</v>
      </c>
    </row>
    <row r="54" spans="1:7">
      <c r="A54" s="51" t="s">
        <v>29</v>
      </c>
      <c r="B54" s="52" t="s">
        <v>30</v>
      </c>
      <c r="C54" s="267">
        <v>7.33</v>
      </c>
      <c r="D54" s="54">
        <f>D53/220*2</f>
        <v>18.930090909090907</v>
      </c>
      <c r="E54" s="54">
        <f>C54*D54</f>
        <v>138.75756636363636</v>
      </c>
      <c r="G54" s="2" t="s">
        <v>31</v>
      </c>
    </row>
    <row r="55" spans="1:7" ht="13.15" customHeight="1">
      <c r="A55" s="51" t="s">
        <v>32</v>
      </c>
      <c r="B55" s="52" t="s">
        <v>30</v>
      </c>
      <c r="C55" s="267">
        <v>7.33</v>
      </c>
      <c r="D55" s="54">
        <f>D53/220*1.5</f>
        <v>14.19756818181818</v>
      </c>
      <c r="E55" s="54">
        <f>C55*D55</f>
        <v>104.06817477272726</v>
      </c>
      <c r="G55" s="2" t="s">
        <v>33</v>
      </c>
    </row>
    <row r="56" spans="1:7" ht="13.15" customHeight="1">
      <c r="A56" s="51" t="s">
        <v>34</v>
      </c>
      <c r="B56" s="52" t="s">
        <v>35</v>
      </c>
      <c r="D56" s="54">
        <f>63/302*(SUM(E54:E55))</f>
        <v>50.655700965532809</v>
      </c>
      <c r="E56" s="54">
        <f>D56</f>
        <v>50.655700965532809</v>
      </c>
      <c r="G56" s="2" t="s">
        <v>36</v>
      </c>
    </row>
    <row r="57" spans="1:7">
      <c r="A57" s="51" t="s">
        <v>37</v>
      </c>
      <c r="B57" s="52" t="s">
        <v>4</v>
      </c>
      <c r="C57" s="52">
        <v>40</v>
      </c>
      <c r="D57" s="54">
        <f>SUM(E53:E56)</f>
        <v>2375.7914421018963</v>
      </c>
      <c r="E57" s="54">
        <f>C57*D57/100</f>
        <v>950.31657684075844</v>
      </c>
    </row>
    <row r="58" spans="1:7">
      <c r="A58" s="55" t="s">
        <v>38</v>
      </c>
      <c r="B58" s="56"/>
      <c r="C58" s="56"/>
      <c r="D58" s="57"/>
      <c r="E58" s="58">
        <f>SUM(E53:E57)</f>
        <v>3326.1080189426548</v>
      </c>
    </row>
    <row r="59" spans="1:7">
      <c r="A59" s="51" t="s">
        <v>39</v>
      </c>
      <c r="B59" s="52" t="s">
        <v>4</v>
      </c>
      <c r="C59" s="59">
        <f>'2_Encargos_Sociais'!$C$37*100</f>
        <v>70.595951999999997</v>
      </c>
      <c r="D59" s="54">
        <f>E58</f>
        <v>3326.1080189426548</v>
      </c>
      <c r="E59" s="54">
        <f>D59*C59/100</f>
        <v>2348.0976205209076</v>
      </c>
    </row>
    <row r="60" spans="1:7">
      <c r="A60" s="55" t="s">
        <v>40</v>
      </c>
      <c r="B60" s="56"/>
      <c r="C60" s="56"/>
      <c r="D60" s="57"/>
      <c r="E60" s="58">
        <f>E58+E59</f>
        <v>5674.205639463562</v>
      </c>
    </row>
    <row r="61" spans="1:7">
      <c r="A61" s="51" t="s">
        <v>41</v>
      </c>
      <c r="B61" s="52" t="s">
        <v>42</v>
      </c>
      <c r="C61" s="60">
        <v>18</v>
      </c>
      <c r="D61" s="54">
        <f>E60</f>
        <v>5674.205639463562</v>
      </c>
      <c r="E61" s="54">
        <f>C61*D61</f>
        <v>102135.70151034411</v>
      </c>
      <c r="G61" s="4"/>
    </row>
    <row r="62" spans="1:7" ht="13.9" customHeight="1">
      <c r="D62" s="61" t="s">
        <v>43</v>
      </c>
      <c r="E62" s="62">
        <f>$B$47</f>
        <v>1</v>
      </c>
      <c r="F62" s="63">
        <f>E61*E62</f>
        <v>102135.70151034411</v>
      </c>
      <c r="G62" s="4"/>
    </row>
    <row r="63" spans="1:7" ht="4.5" customHeight="1"/>
    <row r="64" spans="1:7" ht="6" customHeight="1"/>
    <row r="65" spans="1:64">
      <c r="A65" s="3" t="s">
        <v>281</v>
      </c>
    </row>
    <row r="66" spans="1:64" ht="13.15" customHeight="1">
      <c r="A66" s="45" t="s">
        <v>22</v>
      </c>
      <c r="B66" s="45" t="s">
        <v>23</v>
      </c>
      <c r="C66" s="45" t="s">
        <v>15</v>
      </c>
      <c r="D66" s="46" t="s">
        <v>24</v>
      </c>
      <c r="E66" s="46" t="s">
        <v>25</v>
      </c>
      <c r="F66" s="46" t="s">
        <v>26</v>
      </c>
      <c r="H66" s="64"/>
      <c r="I66" s="64"/>
      <c r="J66" s="64"/>
      <c r="K66" s="64"/>
      <c r="L66" s="64"/>
      <c r="M66" s="64"/>
      <c r="N66" s="64"/>
      <c r="O66" s="64"/>
      <c r="P66" s="64"/>
      <c r="Q66" s="64"/>
      <c r="R66" s="64"/>
      <c r="S66" s="64"/>
      <c r="T66" s="64"/>
      <c r="U66" s="64"/>
      <c r="V66" s="64"/>
      <c r="W66" s="64"/>
      <c r="X66" s="64"/>
      <c r="Y66" s="64"/>
      <c r="Z66" s="64"/>
      <c r="AA66" s="64"/>
      <c r="AB66" s="64"/>
      <c r="AC66" s="64"/>
      <c r="AD66" s="64"/>
      <c r="AE66" s="64"/>
      <c r="AF66" s="64"/>
      <c r="AG66" s="64"/>
      <c r="AH66" s="64"/>
      <c r="AI66" s="64"/>
      <c r="AJ66" s="64"/>
      <c r="AK66" s="64"/>
      <c r="AL66" s="64"/>
      <c r="AM66" s="64"/>
      <c r="AN66" s="64"/>
      <c r="AO66" s="64"/>
      <c r="AP66" s="64"/>
      <c r="AQ66" s="64"/>
      <c r="AR66" s="64"/>
      <c r="AS66" s="64"/>
      <c r="AT66" s="64"/>
      <c r="AU66" s="64"/>
      <c r="AV66" s="64"/>
      <c r="AW66" s="64"/>
      <c r="AX66" s="64"/>
      <c r="AY66" s="64"/>
      <c r="AZ66" s="64"/>
      <c r="BA66" s="64"/>
      <c r="BB66" s="64"/>
      <c r="BC66" s="64"/>
      <c r="BD66" s="64"/>
      <c r="BE66" s="64"/>
      <c r="BF66" s="64"/>
      <c r="BG66" s="64"/>
      <c r="BH66" s="64"/>
      <c r="BI66" s="64"/>
      <c r="BJ66" s="64"/>
      <c r="BK66" s="64"/>
      <c r="BL66" s="64"/>
    </row>
    <row r="67" spans="1:64">
      <c r="A67" s="47" t="s">
        <v>47</v>
      </c>
      <c r="B67" s="48" t="s">
        <v>28</v>
      </c>
      <c r="C67" s="48">
        <v>1</v>
      </c>
      <c r="D67" s="49">
        <v>2542.7600000000002</v>
      </c>
      <c r="E67" s="50">
        <f>C67*D67</f>
        <v>2542.7600000000002</v>
      </c>
    </row>
    <row r="68" spans="1:64">
      <c r="A68" s="47" t="s">
        <v>48</v>
      </c>
      <c r="B68" s="48" t="s">
        <v>28</v>
      </c>
      <c r="C68" s="48">
        <v>1</v>
      </c>
      <c r="D68" s="49">
        <v>1518</v>
      </c>
      <c r="E68" s="50"/>
    </row>
    <row r="69" spans="1:64">
      <c r="A69" s="51" t="s">
        <v>29</v>
      </c>
      <c r="B69" s="52" t="s">
        <v>30</v>
      </c>
      <c r="C69" s="267">
        <v>7.33</v>
      </c>
      <c r="D69" s="54">
        <v>0</v>
      </c>
      <c r="E69" s="54">
        <f>C69*D69</f>
        <v>0</v>
      </c>
      <c r="G69" s="2" t="s">
        <v>31</v>
      </c>
    </row>
    <row r="70" spans="1:64">
      <c r="A70" s="51" t="s">
        <v>32</v>
      </c>
      <c r="B70" s="52" t="s">
        <v>30</v>
      </c>
      <c r="C70" s="267">
        <v>7.33</v>
      </c>
      <c r="D70" s="54">
        <f>D67/220*1.5</f>
        <v>17.337000000000003</v>
      </c>
      <c r="E70" s="54">
        <f>C70*D70</f>
        <v>127.08021000000002</v>
      </c>
      <c r="G70" s="2" t="s">
        <v>33</v>
      </c>
    </row>
    <row r="71" spans="1:64" ht="13.15" customHeight="1">
      <c r="A71" s="51" t="s">
        <v>34</v>
      </c>
      <c r="B71" s="52" t="s">
        <v>35</v>
      </c>
      <c r="D71" s="54">
        <f>63/302*(SUM(E69:E70))</f>
        <v>26.510110033112589</v>
      </c>
      <c r="E71" s="54">
        <f>D71</f>
        <v>26.510110033112589</v>
      </c>
      <c r="G71" s="2" t="s">
        <v>36</v>
      </c>
    </row>
    <row r="72" spans="1:64">
      <c r="A72" s="51" t="s">
        <v>49</v>
      </c>
      <c r="B72" s="52"/>
      <c r="C72" s="65">
        <v>2</v>
      </c>
      <c r="D72" s="54"/>
      <c r="E72" s="54"/>
    </row>
    <row r="73" spans="1:64">
      <c r="A73" s="51" t="s">
        <v>37</v>
      </c>
      <c r="B73" s="52" t="s">
        <v>4</v>
      </c>
      <c r="C73" s="60">
        <v>40</v>
      </c>
      <c r="D73" s="54">
        <f>IF(C72=2,SUM(E67:E71),IF(C72=1,(SUM(E67:E71))*D68/D67,0))</f>
        <v>2696.3503200331129</v>
      </c>
      <c r="E73" s="54">
        <f>C73*D73/100</f>
        <v>1078.5401280132451</v>
      </c>
    </row>
    <row r="74" spans="1:64">
      <c r="A74" s="66" t="s">
        <v>38</v>
      </c>
      <c r="B74" s="56"/>
      <c r="C74" s="56"/>
      <c r="D74" s="57"/>
      <c r="E74" s="10">
        <f>SUM(E67:E73)</f>
        <v>3774.890448046358</v>
      </c>
      <c r="F74" s="14"/>
      <c r="G74" s="14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  <c r="AK74" s="15"/>
      <c r="AL74" s="15"/>
      <c r="AM74" s="15"/>
      <c r="AN74" s="15"/>
      <c r="AO74" s="15"/>
      <c r="AP74" s="15"/>
      <c r="AQ74" s="15"/>
      <c r="AR74" s="15"/>
      <c r="AS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  <c r="BF74" s="15"/>
      <c r="BG74" s="15"/>
      <c r="BH74" s="15"/>
      <c r="BI74" s="15"/>
      <c r="BJ74" s="15"/>
      <c r="BK74" s="15"/>
      <c r="BL74" s="15"/>
    </row>
    <row r="75" spans="1:64">
      <c r="A75" s="51" t="s">
        <v>39</v>
      </c>
      <c r="B75" s="52" t="s">
        <v>4</v>
      </c>
      <c r="C75" s="59">
        <f>'2_Encargos_Sociais'!$C$37*100</f>
        <v>70.595951999999997</v>
      </c>
      <c r="D75" s="54">
        <f>E74</f>
        <v>3774.890448046358</v>
      </c>
      <c r="E75" s="54">
        <f>D75*C75/100</f>
        <v>2664.9198487553913</v>
      </c>
    </row>
    <row r="76" spans="1:64">
      <c r="A76" s="66" t="s">
        <v>50</v>
      </c>
      <c r="B76" s="67"/>
      <c r="C76" s="67"/>
      <c r="D76" s="68"/>
      <c r="E76" s="10">
        <f>E74+E75</f>
        <v>6439.8102968017492</v>
      </c>
      <c r="F76" s="14"/>
      <c r="G76" s="14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5"/>
      <c r="AJ76" s="15"/>
      <c r="AK76" s="15"/>
      <c r="AL76" s="15"/>
      <c r="AM76" s="15"/>
      <c r="AN76" s="15"/>
      <c r="AO76" s="15"/>
      <c r="AP76" s="15"/>
      <c r="AQ76" s="15"/>
      <c r="AR76" s="15"/>
      <c r="AS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  <c r="BF76" s="15"/>
      <c r="BG76" s="15"/>
      <c r="BH76" s="15"/>
      <c r="BI76" s="15"/>
      <c r="BJ76" s="15"/>
      <c r="BK76" s="15"/>
      <c r="BL76" s="15"/>
    </row>
    <row r="77" spans="1:64">
      <c r="A77" s="51" t="s">
        <v>41</v>
      </c>
      <c r="B77" s="52" t="s">
        <v>42</v>
      </c>
      <c r="C77" s="60">
        <v>6</v>
      </c>
      <c r="D77" s="54">
        <f>E76</f>
        <v>6439.8102968017492</v>
      </c>
      <c r="E77" s="54">
        <f>C77*D77</f>
        <v>38638.861780810497</v>
      </c>
    </row>
    <row r="78" spans="1:64">
      <c r="D78" s="61" t="s">
        <v>43</v>
      </c>
      <c r="E78" s="62">
        <f>$B$47</f>
        <v>1</v>
      </c>
      <c r="F78" s="63">
        <f>E77*E78</f>
        <v>38638.861780810497</v>
      </c>
    </row>
    <row r="79" spans="1:64" ht="11.25" customHeight="1"/>
    <row r="80" spans="1:64" ht="11.25" customHeight="1">
      <c r="G80" s="3"/>
    </row>
    <row r="81" spans="1:7" ht="11.25" customHeight="1">
      <c r="A81" s="277" t="s">
        <v>363</v>
      </c>
      <c r="G81" s="3"/>
    </row>
    <row r="82" spans="1:7" ht="11.25" customHeight="1">
      <c r="A82" s="45" t="s">
        <v>22</v>
      </c>
      <c r="B82" s="45" t="s">
        <v>23</v>
      </c>
      <c r="C82" s="45" t="s">
        <v>15</v>
      </c>
      <c r="D82" s="46" t="s">
        <v>24</v>
      </c>
      <c r="E82" s="46" t="s">
        <v>25</v>
      </c>
      <c r="F82" s="46" t="s">
        <v>26</v>
      </c>
      <c r="G82" s="3"/>
    </row>
    <row r="83" spans="1:7" ht="11.25" customHeight="1">
      <c r="A83" s="47" t="s">
        <v>47</v>
      </c>
      <c r="B83" s="48" t="s">
        <v>28</v>
      </c>
      <c r="C83" s="48">
        <v>1</v>
      </c>
      <c r="D83" s="50">
        <v>9180.14</v>
      </c>
      <c r="E83" s="50">
        <f>C83*D83</f>
        <v>9180.14</v>
      </c>
      <c r="G83" s="3"/>
    </row>
    <row r="84" spans="1:7" ht="11.25" hidden="1" customHeight="1">
      <c r="A84" s="47" t="s">
        <v>48</v>
      </c>
      <c r="B84" s="48" t="s">
        <v>28</v>
      </c>
      <c r="C84" s="48">
        <v>0</v>
      </c>
      <c r="D84" s="54">
        <f>D68</f>
        <v>1518</v>
      </c>
      <c r="E84" s="54"/>
      <c r="G84" s="3"/>
    </row>
    <row r="85" spans="1:7" ht="11.25" hidden="1" customHeight="1">
      <c r="A85" s="51" t="s">
        <v>44</v>
      </c>
      <c r="B85" s="52" t="s">
        <v>45</v>
      </c>
      <c r="C85" s="53">
        <v>0</v>
      </c>
      <c r="D85" s="51"/>
      <c r="E85" s="51"/>
      <c r="G85" s="3"/>
    </row>
    <row r="86" spans="1:7" ht="11.25" hidden="1" customHeight="1">
      <c r="A86" s="51"/>
      <c r="B86" s="52" t="s">
        <v>46</v>
      </c>
      <c r="C86" s="54">
        <f>C85*8/7</f>
        <v>0</v>
      </c>
      <c r="D86" s="54">
        <f>D83/220*0.2</f>
        <v>8.3455818181818184</v>
      </c>
      <c r="E86" s="54">
        <f>C86*D86</f>
        <v>0</v>
      </c>
      <c r="G86" s="3"/>
    </row>
    <row r="87" spans="1:7" ht="11.25" hidden="1" customHeight="1">
      <c r="A87" s="51" t="s">
        <v>29</v>
      </c>
      <c r="B87" s="52" t="s">
        <v>30</v>
      </c>
      <c r="C87" s="53">
        <v>0</v>
      </c>
      <c r="D87" s="54">
        <f>D83/220*2</f>
        <v>83.455818181818174</v>
      </c>
      <c r="E87" s="54">
        <f>C87*D87</f>
        <v>0</v>
      </c>
      <c r="G87" s="3"/>
    </row>
    <row r="88" spans="1:7" ht="11.25" hidden="1" customHeight="1">
      <c r="A88" s="51" t="s">
        <v>32</v>
      </c>
      <c r="B88" s="52" t="s">
        <v>30</v>
      </c>
      <c r="C88" s="53">
        <v>0</v>
      </c>
      <c r="D88" s="54">
        <f>D83/220*1.5</f>
        <v>62.591863636363627</v>
      </c>
      <c r="E88" s="54">
        <f>C88*D88</f>
        <v>0</v>
      </c>
      <c r="G88" s="3"/>
    </row>
    <row r="89" spans="1:7" ht="11.25" hidden="1" customHeight="1">
      <c r="A89" s="51" t="s">
        <v>34</v>
      </c>
      <c r="B89" s="52" t="s">
        <v>35</v>
      </c>
      <c r="D89" s="54">
        <f>63/302*(SUM(E87:E88))</f>
        <v>0</v>
      </c>
      <c r="E89" s="54">
        <f>D89</f>
        <v>0</v>
      </c>
      <c r="G89" s="3"/>
    </row>
    <row r="90" spans="1:7" ht="11.25" customHeight="1">
      <c r="A90" s="51" t="s">
        <v>49</v>
      </c>
      <c r="B90" s="52"/>
      <c r="C90" s="65">
        <v>2</v>
      </c>
      <c r="D90" s="54"/>
      <c r="E90" s="54"/>
      <c r="G90" s="3"/>
    </row>
    <row r="91" spans="1:7" ht="11.25" customHeight="1">
      <c r="A91" s="51" t="s">
        <v>37</v>
      </c>
      <c r="B91" s="52" t="s">
        <v>4</v>
      </c>
      <c r="C91" s="54">
        <v>40</v>
      </c>
      <c r="D91" s="54">
        <f>IF(C90=2,SUM(E83:E89),IF(C90=1,SUM(E83:E89)*D84/D83,0))</f>
        <v>9180.14</v>
      </c>
      <c r="E91" s="54">
        <f>C91*D91/100</f>
        <v>3672.0559999999996</v>
      </c>
      <c r="G91" s="3"/>
    </row>
    <row r="92" spans="1:7" ht="11.25" customHeight="1">
      <c r="A92" s="55" t="s">
        <v>38</v>
      </c>
      <c r="B92" s="56"/>
      <c r="C92" s="56"/>
      <c r="D92" s="57"/>
      <c r="E92" s="58">
        <f>SUM(E83:E91)</f>
        <v>12852.196</v>
      </c>
      <c r="F92" s="14"/>
      <c r="G92" s="3"/>
    </row>
    <row r="93" spans="1:7" ht="11.25" customHeight="1">
      <c r="A93" s="51" t="s">
        <v>39</v>
      </c>
      <c r="B93" s="52" t="s">
        <v>4</v>
      </c>
      <c r="C93" s="59">
        <f>'2_Encargos_Sociais'!$C$37*100</f>
        <v>70.595951999999997</v>
      </c>
      <c r="D93" s="54">
        <f>E92</f>
        <v>12852.196</v>
      </c>
      <c r="E93" s="54">
        <f>D93*C93/100</f>
        <v>9073.1301191059192</v>
      </c>
      <c r="G93" s="3"/>
    </row>
    <row r="94" spans="1:7" ht="11.25" customHeight="1">
      <c r="A94" s="55" t="s">
        <v>51</v>
      </c>
      <c r="B94" s="56"/>
      <c r="C94" s="56"/>
      <c r="D94" s="57"/>
      <c r="E94" s="58">
        <f>E92+E93</f>
        <v>21925.326119105921</v>
      </c>
      <c r="F94" s="14"/>
      <c r="G94" s="3"/>
    </row>
    <row r="95" spans="1:7" ht="11.25" customHeight="1">
      <c r="A95" s="51" t="s">
        <v>41</v>
      </c>
      <c r="B95" s="52" t="s">
        <v>42</v>
      </c>
      <c r="C95" s="60">
        <v>1</v>
      </c>
      <c r="D95" s="54">
        <f>E94</f>
        <v>21925.326119105921</v>
      </c>
      <c r="E95" s="54">
        <f>C95*D95</f>
        <v>21925.326119105921</v>
      </c>
      <c r="G95" s="3"/>
    </row>
    <row r="96" spans="1:7" ht="11.25" customHeight="1">
      <c r="D96" s="61" t="s">
        <v>43</v>
      </c>
      <c r="E96" s="276">
        <v>0.1</v>
      </c>
      <c r="F96" s="63">
        <f>E95*E96</f>
        <v>2192.5326119105921</v>
      </c>
      <c r="G96" s="3"/>
    </row>
    <row r="97" spans="1:7">
      <c r="A97"/>
      <c r="B97" s="69"/>
      <c r="D97" s="3"/>
      <c r="E97" s="3"/>
      <c r="G97" s="3"/>
    </row>
    <row r="98" spans="1:7">
      <c r="A98" s="3" t="s">
        <v>283</v>
      </c>
      <c r="B98" s="69"/>
      <c r="D98" s="3"/>
      <c r="E98" s="3"/>
      <c r="G98" s="3"/>
    </row>
    <row r="99" spans="1:7">
      <c r="A99" s="45" t="s">
        <v>22</v>
      </c>
      <c r="B99" s="45" t="s">
        <v>23</v>
      </c>
      <c r="C99" s="45" t="s">
        <v>15</v>
      </c>
      <c r="D99" s="46" t="s">
        <v>24</v>
      </c>
      <c r="E99" s="46" t="s">
        <v>25</v>
      </c>
      <c r="F99" s="46" t="s">
        <v>26</v>
      </c>
      <c r="G99" s="3"/>
    </row>
    <row r="100" spans="1:7">
      <c r="A100" s="51" t="s">
        <v>52</v>
      </c>
      <c r="B100" s="52" t="s">
        <v>35</v>
      </c>
      <c r="C100" s="70">
        <v>1</v>
      </c>
      <c r="D100" s="71">
        <v>5.7</v>
      </c>
      <c r="E100" s="54"/>
      <c r="G100" s="72"/>
    </row>
    <row r="101" spans="1:7">
      <c r="A101" s="51" t="s">
        <v>53</v>
      </c>
      <c r="B101" s="52" t="s">
        <v>54</v>
      </c>
      <c r="C101" s="73">
        <v>26</v>
      </c>
      <c r="D101" s="54"/>
      <c r="E101" s="54"/>
      <c r="G101" s="3"/>
    </row>
    <row r="102" spans="1:7">
      <c r="A102" s="51" t="s">
        <v>55</v>
      </c>
      <c r="B102" s="52" t="s">
        <v>56</v>
      </c>
      <c r="C102" s="74">
        <f>$C$101*2*(C61)</f>
        <v>936</v>
      </c>
      <c r="D102" s="50">
        <f>IFERROR((($C$101*2*$D$100)-(E53*0.06*C101/26))/($C$101*2),"-")</f>
        <v>3.2973346153846164</v>
      </c>
      <c r="E102" s="54">
        <f>IFERROR(C102*D102,"-")</f>
        <v>3086.3052000000007</v>
      </c>
      <c r="G102" s="3"/>
    </row>
    <row r="103" spans="1:7">
      <c r="A103" s="47" t="s">
        <v>57</v>
      </c>
      <c r="B103" s="48" t="s">
        <v>56</v>
      </c>
      <c r="C103" s="74">
        <f>$C$101*2*(C77)</f>
        <v>312</v>
      </c>
      <c r="D103" s="50">
        <f>IFERROR((($C$101*2*$D$100)-(E67*0.06*C101/26))/($C$101*2),"-")</f>
        <v>2.7660461538461543</v>
      </c>
      <c r="E103" s="50">
        <f>IFERROR(C103*D103,"-")</f>
        <v>863.0064000000001</v>
      </c>
      <c r="G103" s="3"/>
    </row>
    <row r="104" spans="1:7">
      <c r="A104" s="47" t="s">
        <v>364</v>
      </c>
      <c r="B104" s="48" t="s">
        <v>56</v>
      </c>
      <c r="C104" s="278">
        <v>52</v>
      </c>
      <c r="D104" s="50">
        <f>IFERROR((($C$101*2*$D$100)-(E83*0.06*C101/26))/($C$101*2),"-")</f>
        <v>-4.8924692307692279</v>
      </c>
      <c r="E104" s="50">
        <f>IFERROR(C104*D104,"-")</f>
        <v>-254.40839999999986</v>
      </c>
      <c r="G104" s="3"/>
    </row>
    <row r="105" spans="1:7">
      <c r="F105" s="75">
        <f>SUM(E102:E104)</f>
        <v>3694.9032000000011</v>
      </c>
      <c r="G105" s="3"/>
    </row>
    <row r="106" spans="1:7" ht="11.25" customHeight="1">
      <c r="G106" s="3"/>
    </row>
    <row r="107" spans="1:7">
      <c r="A107" s="3" t="s">
        <v>284</v>
      </c>
      <c r="F107" s="14"/>
      <c r="G107" s="3"/>
    </row>
    <row r="108" spans="1:7">
      <c r="A108" s="45" t="s">
        <v>22</v>
      </c>
      <c r="B108" s="45" t="s">
        <v>23</v>
      </c>
      <c r="C108" s="45" t="s">
        <v>15</v>
      </c>
      <c r="D108" s="46" t="s">
        <v>24</v>
      </c>
      <c r="E108" s="46" t="s">
        <v>25</v>
      </c>
      <c r="F108" s="46" t="s">
        <v>26</v>
      </c>
      <c r="G108" s="3"/>
    </row>
    <row r="109" spans="1:7">
      <c r="A109" s="51" t="str">
        <f>+A102</f>
        <v>Coletor</v>
      </c>
      <c r="B109" s="52" t="s">
        <v>59</v>
      </c>
      <c r="C109" s="74">
        <f>C101*(E36)</f>
        <v>468</v>
      </c>
      <c r="D109" s="76">
        <v>20.59</v>
      </c>
      <c r="E109" s="62">
        <f>C109*D109</f>
        <v>9636.1200000000008</v>
      </c>
      <c r="F109" s="14"/>
      <c r="G109" s="3"/>
    </row>
    <row r="110" spans="1:7">
      <c r="A110" s="51" t="str">
        <f>+A103</f>
        <v>Motorista</v>
      </c>
      <c r="B110" s="52" t="s">
        <v>59</v>
      </c>
      <c r="C110" s="74">
        <f ca="1">C101*(E37)</f>
        <v>156</v>
      </c>
      <c r="D110" s="76">
        <v>15.2</v>
      </c>
      <c r="E110" s="62">
        <f ca="1">C110*D110</f>
        <v>2371.1999999999998</v>
      </c>
      <c r="F110" s="14"/>
      <c r="G110" s="3"/>
    </row>
    <row r="111" spans="1:7">
      <c r="A111" s="51" t="str">
        <f>+A104</f>
        <v>Responsável Técnico</v>
      </c>
      <c r="B111" s="52" t="s">
        <v>59</v>
      </c>
      <c r="C111" s="278">
        <f>C101*(E38)</f>
        <v>26</v>
      </c>
      <c r="D111" s="76">
        <v>70.73</v>
      </c>
      <c r="E111" s="62">
        <f>C111*D111</f>
        <v>1838.98</v>
      </c>
      <c r="F111" s="14"/>
      <c r="G111" s="3"/>
    </row>
    <row r="112" spans="1:7">
      <c r="F112" s="75">
        <f ca="1">SUM(E109:E111)</f>
        <v>13846.3</v>
      </c>
      <c r="G112" s="3"/>
    </row>
    <row r="113" spans="1:7">
      <c r="G113" s="3"/>
    </row>
    <row r="114" spans="1:7">
      <c r="A114" s="3" t="s">
        <v>285</v>
      </c>
      <c r="F114" s="14"/>
      <c r="G114" s="3"/>
    </row>
    <row r="115" spans="1:7">
      <c r="A115" s="45" t="s">
        <v>22</v>
      </c>
      <c r="B115" s="45" t="s">
        <v>23</v>
      </c>
      <c r="C115" s="45" t="s">
        <v>15</v>
      </c>
      <c r="D115" s="46" t="s">
        <v>24</v>
      </c>
      <c r="E115" s="46" t="s">
        <v>25</v>
      </c>
      <c r="F115" s="46" t="s">
        <v>26</v>
      </c>
      <c r="G115" s="3"/>
    </row>
    <row r="116" spans="1:7">
      <c r="A116" s="51" t="str">
        <f>+A109</f>
        <v>Coletor</v>
      </c>
      <c r="B116" s="52" t="s">
        <v>59</v>
      </c>
      <c r="C116" s="74">
        <f>C61</f>
        <v>18</v>
      </c>
      <c r="D116" s="76">
        <v>0</v>
      </c>
      <c r="E116" s="62">
        <f>C116*D116</f>
        <v>0</v>
      </c>
      <c r="F116" s="14"/>
      <c r="G116" s="3"/>
    </row>
    <row r="117" spans="1:7">
      <c r="A117" s="51" t="str">
        <f>+A110</f>
        <v>Motorista</v>
      </c>
      <c r="B117" s="52" t="s">
        <v>59</v>
      </c>
      <c r="C117" s="74">
        <f>C77</f>
        <v>6</v>
      </c>
      <c r="D117" s="76">
        <v>110.4</v>
      </c>
      <c r="E117" s="62">
        <f>C117*D117</f>
        <v>662.40000000000009</v>
      </c>
      <c r="F117" s="14"/>
      <c r="G117" s="3"/>
    </row>
    <row r="118" spans="1:7">
      <c r="D118" s="61" t="s">
        <v>43</v>
      </c>
      <c r="E118" s="62">
        <f>$B$47</f>
        <v>1</v>
      </c>
      <c r="F118" s="75">
        <f>SUM(E116:E117)*E118</f>
        <v>662.40000000000009</v>
      </c>
      <c r="G118" s="3"/>
    </row>
    <row r="119" spans="1:7">
      <c r="G119" s="3"/>
    </row>
    <row r="120" spans="1:7" ht="2.25" customHeight="1">
      <c r="G120" s="3"/>
    </row>
    <row r="121" spans="1:7">
      <c r="A121" s="77" t="s">
        <v>60</v>
      </c>
      <c r="B121" s="78"/>
      <c r="C121" s="78"/>
      <c r="D121" s="8"/>
      <c r="E121" s="79"/>
      <c r="F121" s="75">
        <f ca="1">F118+F112+F105+F78+F62+F96</f>
        <v>161170.69910306521</v>
      </c>
      <c r="G121" s="3"/>
    </row>
    <row r="122" spans="1:7" ht="9" customHeight="1"/>
    <row r="123" spans="1:7">
      <c r="A123" s="15" t="s">
        <v>61</v>
      </c>
      <c r="G123" s="3"/>
    </row>
    <row r="124" spans="1:7" ht="7.5" customHeight="1">
      <c r="G124" s="3"/>
    </row>
    <row r="125" spans="1:7" ht="13.9" customHeight="1">
      <c r="A125" s="3" t="s">
        <v>62</v>
      </c>
      <c r="G125" s="3"/>
    </row>
    <row r="126" spans="1:7" ht="6.75" customHeight="1">
      <c r="G126" s="3"/>
    </row>
    <row r="127" spans="1:7" ht="27.75" customHeight="1">
      <c r="A127" s="45" t="s">
        <v>22</v>
      </c>
      <c r="B127" s="45" t="s">
        <v>23</v>
      </c>
      <c r="C127" s="80" t="s">
        <v>63</v>
      </c>
      <c r="D127" s="46" t="s">
        <v>24</v>
      </c>
      <c r="E127" s="46" t="s">
        <v>25</v>
      </c>
      <c r="F127" s="46" t="s">
        <v>26</v>
      </c>
      <c r="G127" s="3"/>
    </row>
    <row r="128" spans="1:7" ht="13.15" customHeight="1">
      <c r="A128" s="51" t="s">
        <v>64</v>
      </c>
      <c r="B128" s="52" t="s">
        <v>59</v>
      </c>
      <c r="C128" s="81">
        <v>6</v>
      </c>
      <c r="D128" s="49">
        <v>59.26</v>
      </c>
      <c r="E128" s="50">
        <f t="shared" ref="E128:E136" si="1">IFERROR(D128/C128,0)</f>
        <v>9.8766666666666669</v>
      </c>
      <c r="G128" s="3"/>
    </row>
    <row r="129" spans="1:64">
      <c r="A129" s="51" t="s">
        <v>65</v>
      </c>
      <c r="B129" s="52" t="s">
        <v>59</v>
      </c>
      <c r="C129" s="81">
        <v>6</v>
      </c>
      <c r="D129" s="49">
        <v>43.26</v>
      </c>
      <c r="E129" s="50">
        <f t="shared" si="1"/>
        <v>7.21</v>
      </c>
      <c r="G129" s="3"/>
    </row>
    <row r="130" spans="1:64" ht="13.15" customHeight="1">
      <c r="A130" s="51" t="s">
        <v>66</v>
      </c>
      <c r="B130" s="52" t="s">
        <v>59</v>
      </c>
      <c r="C130" s="81">
        <v>6</v>
      </c>
      <c r="D130" s="49">
        <v>34.69</v>
      </c>
      <c r="E130" s="50">
        <f t="shared" si="1"/>
        <v>5.7816666666666663</v>
      </c>
      <c r="G130" s="3"/>
    </row>
    <row r="131" spans="1:64" ht="13.9" customHeight="1">
      <c r="A131" s="51" t="s">
        <v>67</v>
      </c>
      <c r="B131" s="52" t="s">
        <v>68</v>
      </c>
      <c r="C131" s="81">
        <v>6</v>
      </c>
      <c r="D131" s="49">
        <v>88.69</v>
      </c>
      <c r="E131" s="50">
        <f t="shared" si="1"/>
        <v>14.781666666666666</v>
      </c>
      <c r="G131" s="3"/>
    </row>
    <row r="132" spans="1:64" ht="13.15" customHeight="1">
      <c r="A132" s="51" t="s">
        <v>69</v>
      </c>
      <c r="B132" s="52" t="s">
        <v>68</v>
      </c>
      <c r="C132" s="81">
        <v>3</v>
      </c>
      <c r="D132" s="49">
        <v>20.329999999999998</v>
      </c>
      <c r="E132" s="50">
        <f t="shared" si="1"/>
        <v>6.7766666666666664</v>
      </c>
    </row>
    <row r="133" spans="1:64">
      <c r="A133" s="51" t="s">
        <v>70</v>
      </c>
      <c r="B133" s="52" t="s">
        <v>59</v>
      </c>
      <c r="C133" s="81">
        <v>12</v>
      </c>
      <c r="D133" s="49">
        <v>67.62</v>
      </c>
      <c r="E133" s="50">
        <f t="shared" si="1"/>
        <v>5.6350000000000007</v>
      </c>
    </row>
    <row r="134" spans="1:64">
      <c r="A134" s="82" t="s">
        <v>71</v>
      </c>
      <c r="B134" s="83" t="s">
        <v>59</v>
      </c>
      <c r="C134" s="81">
        <v>6</v>
      </c>
      <c r="D134" s="49">
        <v>23.33</v>
      </c>
      <c r="E134" s="50">
        <f t="shared" si="1"/>
        <v>3.8883333333333332</v>
      </c>
      <c r="F134" s="84"/>
      <c r="G134" s="84"/>
      <c r="H134" s="85"/>
      <c r="I134" s="85"/>
      <c r="J134" s="85"/>
      <c r="K134" s="85"/>
      <c r="L134" s="85"/>
      <c r="M134" s="85"/>
      <c r="N134" s="85"/>
      <c r="O134" s="85"/>
      <c r="P134" s="85"/>
      <c r="Q134" s="85"/>
      <c r="R134" s="85"/>
      <c r="S134" s="85"/>
      <c r="T134" s="85"/>
      <c r="U134" s="85"/>
      <c r="V134" s="85"/>
      <c r="W134" s="85"/>
      <c r="X134" s="85"/>
      <c r="Y134" s="85"/>
      <c r="Z134" s="85"/>
      <c r="AA134" s="85"/>
      <c r="AB134" s="85"/>
      <c r="AC134" s="85"/>
      <c r="AD134" s="85"/>
      <c r="AE134" s="85"/>
      <c r="AF134" s="85"/>
      <c r="AG134" s="85"/>
      <c r="AH134" s="85"/>
      <c r="AI134" s="85"/>
      <c r="AJ134" s="85"/>
      <c r="AK134" s="85"/>
      <c r="AL134" s="85"/>
      <c r="AM134" s="85"/>
      <c r="AN134" s="85"/>
      <c r="AO134" s="85"/>
      <c r="AP134" s="85"/>
      <c r="AQ134" s="85"/>
      <c r="AR134" s="85"/>
      <c r="AS134" s="85"/>
      <c r="AT134" s="85"/>
      <c r="AU134" s="85"/>
      <c r="AV134" s="85"/>
      <c r="AW134" s="85"/>
      <c r="AX134" s="85"/>
      <c r="AY134" s="85"/>
      <c r="AZ134" s="85"/>
      <c r="BA134" s="85"/>
      <c r="BB134" s="85"/>
      <c r="BC134" s="85"/>
      <c r="BD134" s="85"/>
      <c r="BE134" s="85"/>
      <c r="BF134" s="85"/>
      <c r="BG134" s="85"/>
      <c r="BH134" s="85"/>
      <c r="BI134" s="85"/>
      <c r="BJ134" s="85"/>
      <c r="BK134" s="85"/>
      <c r="BL134" s="85"/>
    </row>
    <row r="135" spans="1:64">
      <c r="A135" s="51" t="s">
        <v>72</v>
      </c>
      <c r="B135" s="52" t="s">
        <v>68</v>
      </c>
      <c r="C135" s="81">
        <v>3</v>
      </c>
      <c r="D135" s="49">
        <v>10.57</v>
      </c>
      <c r="E135" s="50">
        <f t="shared" si="1"/>
        <v>3.5233333333333334</v>
      </c>
    </row>
    <row r="136" spans="1:64" ht="13.15" customHeight="1">
      <c r="A136" s="51" t="s">
        <v>73</v>
      </c>
      <c r="B136" s="52" t="s">
        <v>74</v>
      </c>
      <c r="C136" s="81">
        <v>2</v>
      </c>
      <c r="D136" s="49">
        <v>71.599999999999994</v>
      </c>
      <c r="E136" s="50">
        <f t="shared" si="1"/>
        <v>35.799999999999997</v>
      </c>
    </row>
    <row r="137" spans="1:64">
      <c r="A137" s="51" t="s">
        <v>75</v>
      </c>
      <c r="B137" s="52" t="s">
        <v>76</v>
      </c>
      <c r="C137" s="86">
        <v>1</v>
      </c>
      <c r="D137" s="49">
        <v>128</v>
      </c>
      <c r="E137" s="54">
        <f>C137*D137</f>
        <v>128</v>
      </c>
    </row>
    <row r="138" spans="1:64">
      <c r="A138" s="51" t="s">
        <v>41</v>
      </c>
      <c r="B138" s="52" t="s">
        <v>42</v>
      </c>
      <c r="C138" s="231">
        <v>18</v>
      </c>
      <c r="D138" s="54">
        <f>+SUM(E128:E137)</f>
        <v>221.27333333333331</v>
      </c>
      <c r="E138" s="54">
        <f>C138*D138</f>
        <v>3982.9199999999996</v>
      </c>
    </row>
    <row r="139" spans="1:64">
      <c r="D139" s="61" t="s">
        <v>43</v>
      </c>
      <c r="E139" s="62">
        <f>$B$47</f>
        <v>1</v>
      </c>
      <c r="F139" s="63">
        <f>E138*E139</f>
        <v>3982.9199999999996</v>
      </c>
    </row>
    <row r="140" spans="1:64" ht="6.75" customHeight="1"/>
    <row r="141" spans="1:64" ht="13.9" customHeight="1">
      <c r="A141" s="3" t="s">
        <v>77</v>
      </c>
    </row>
    <row r="142" spans="1:64" ht="6.75" customHeight="1"/>
    <row r="143" spans="1:64" ht="24">
      <c r="A143" s="45" t="s">
        <v>22</v>
      </c>
      <c r="B143" s="45" t="s">
        <v>23</v>
      </c>
      <c r="C143" s="80" t="s">
        <v>63</v>
      </c>
      <c r="D143" s="46" t="s">
        <v>24</v>
      </c>
      <c r="E143" s="46" t="s">
        <v>25</v>
      </c>
      <c r="F143" s="46" t="s">
        <v>26</v>
      </c>
    </row>
    <row r="144" spans="1:64">
      <c r="A144" s="51" t="s">
        <v>64</v>
      </c>
      <c r="B144" s="52" t="s">
        <v>59</v>
      </c>
      <c r="C144" s="81">
        <v>12</v>
      </c>
      <c r="D144" s="54">
        <f>+D128</f>
        <v>59.26</v>
      </c>
      <c r="E144" s="50">
        <f>IFERROR(D144/C144,0)</f>
        <v>4.9383333333333335</v>
      </c>
    </row>
    <row r="145" spans="1:7">
      <c r="A145" s="51" t="s">
        <v>65</v>
      </c>
      <c r="B145" s="52" t="s">
        <v>59</v>
      </c>
      <c r="C145" s="81">
        <v>12</v>
      </c>
      <c r="D145" s="54">
        <f>+D129</f>
        <v>43.26</v>
      </c>
      <c r="E145" s="50">
        <f>IFERROR(D145/C145,0)</f>
        <v>3.605</v>
      </c>
    </row>
    <row r="146" spans="1:7">
      <c r="A146" s="51" t="s">
        <v>67</v>
      </c>
      <c r="B146" s="52" t="s">
        <v>68</v>
      </c>
      <c r="C146" s="81">
        <v>12</v>
      </c>
      <c r="D146" s="54">
        <f>+D131</f>
        <v>88.69</v>
      </c>
      <c r="E146" s="50">
        <f>IFERROR(D146/C146,0)</f>
        <v>7.3908333333333331</v>
      </c>
    </row>
    <row r="147" spans="1:7">
      <c r="A147" s="51" t="s">
        <v>70</v>
      </c>
      <c r="B147" s="52" t="s">
        <v>59</v>
      </c>
      <c r="C147" s="81">
        <v>12</v>
      </c>
      <c r="D147" s="54">
        <f>+D133</f>
        <v>67.62</v>
      </c>
      <c r="E147" s="50">
        <f>IFERROR(D147/C147,0)</f>
        <v>5.6350000000000007</v>
      </c>
      <c r="G147" s="3"/>
    </row>
    <row r="148" spans="1:7">
      <c r="A148" s="51" t="s">
        <v>73</v>
      </c>
      <c r="B148" s="52" t="s">
        <v>74</v>
      </c>
      <c r="C148" s="81">
        <v>3</v>
      </c>
      <c r="D148" s="54">
        <f>+D136</f>
        <v>71.599999999999994</v>
      </c>
      <c r="E148" s="50">
        <f>IFERROR(D148/C148,0)</f>
        <v>23.866666666666664</v>
      </c>
      <c r="G148" s="3"/>
    </row>
    <row r="149" spans="1:7">
      <c r="A149" s="51" t="s">
        <v>75</v>
      </c>
      <c r="B149" s="52" t="s">
        <v>76</v>
      </c>
      <c r="C149" s="86">
        <v>1</v>
      </c>
      <c r="D149" s="49">
        <v>128</v>
      </c>
      <c r="E149" s="54">
        <f>C149*D149</f>
        <v>128</v>
      </c>
      <c r="G149" s="3"/>
    </row>
    <row r="150" spans="1:7">
      <c r="A150" s="51" t="s">
        <v>41</v>
      </c>
      <c r="B150" s="52" t="s">
        <v>42</v>
      </c>
      <c r="C150" s="275">
        <f>C77</f>
        <v>6</v>
      </c>
      <c r="D150" s="54">
        <f>+SUM(E144:E149)</f>
        <v>173.43583333333333</v>
      </c>
      <c r="E150" s="54">
        <f>C150*D150</f>
        <v>1040.615</v>
      </c>
      <c r="G150" s="3"/>
    </row>
    <row r="151" spans="1:7">
      <c r="D151" s="61" t="s">
        <v>43</v>
      </c>
      <c r="E151" s="62">
        <f>$B$47</f>
        <v>1</v>
      </c>
      <c r="F151" s="63">
        <f>E150*E151</f>
        <v>1040.615</v>
      </c>
      <c r="G151" s="3"/>
    </row>
    <row r="152" spans="1:7" ht="11.25" customHeight="1">
      <c r="G152" s="3"/>
    </row>
    <row r="153" spans="1:7">
      <c r="A153" s="77" t="s">
        <v>78</v>
      </c>
      <c r="B153" s="40"/>
      <c r="C153" s="40"/>
      <c r="D153" s="29"/>
      <c r="E153" s="87"/>
      <c r="F153" s="88">
        <f>+F139+F151</f>
        <v>5023.5349999999999</v>
      </c>
      <c r="G153" s="3"/>
    </row>
    <row r="154" spans="1:7" ht="6" customHeight="1">
      <c r="G154" s="3"/>
    </row>
    <row r="155" spans="1:7">
      <c r="A155" s="15" t="s">
        <v>79</v>
      </c>
      <c r="G155" s="3"/>
    </row>
    <row r="156" spans="1:7" ht="4.5" customHeight="1">
      <c r="B156" s="89"/>
      <c r="G156" s="3"/>
    </row>
    <row r="157" spans="1:7">
      <c r="A157" s="5" t="s">
        <v>395</v>
      </c>
      <c r="G157" s="3"/>
    </row>
    <row r="158" spans="1:7" ht="9" customHeight="1">
      <c r="G158" s="3"/>
    </row>
    <row r="159" spans="1:7">
      <c r="A159" s="89" t="s">
        <v>80</v>
      </c>
      <c r="G159" s="3"/>
    </row>
    <row r="160" spans="1:7">
      <c r="A160" s="45" t="s">
        <v>22</v>
      </c>
      <c r="B160" s="45" t="s">
        <v>23</v>
      </c>
      <c r="C160" s="45" t="s">
        <v>15</v>
      </c>
      <c r="D160" s="46" t="s">
        <v>24</v>
      </c>
      <c r="E160" s="46" t="s">
        <v>25</v>
      </c>
      <c r="F160" s="46" t="s">
        <v>26</v>
      </c>
      <c r="G160" s="3"/>
    </row>
    <row r="161" spans="1:10">
      <c r="A161" s="47" t="s">
        <v>81</v>
      </c>
      <c r="B161" s="48" t="s">
        <v>59</v>
      </c>
      <c r="C161" s="48">
        <v>1</v>
      </c>
      <c r="D161" s="49">
        <v>536697.75</v>
      </c>
      <c r="E161" s="50">
        <f>C161*D161</f>
        <v>536697.75</v>
      </c>
      <c r="G161" s="3"/>
    </row>
    <row r="162" spans="1:10">
      <c r="A162" s="51" t="s">
        <v>82</v>
      </c>
      <c r="B162" s="52" t="s">
        <v>83</v>
      </c>
      <c r="C162" s="60">
        <v>10</v>
      </c>
      <c r="D162" s="54"/>
      <c r="E162" s="54"/>
      <c r="G162" s="3"/>
    </row>
    <row r="163" spans="1:10">
      <c r="A163" s="51" t="s">
        <v>84</v>
      </c>
      <c r="B163" s="52" t="s">
        <v>83</v>
      </c>
      <c r="C163" s="229">
        <v>10</v>
      </c>
      <c r="D163" s="54"/>
      <c r="E163" s="54"/>
      <c r="F163" s="90"/>
      <c r="I163" s="91"/>
      <c r="J163" s="91"/>
    </row>
    <row r="164" spans="1:10">
      <c r="A164" s="51" t="s">
        <v>85</v>
      </c>
      <c r="B164" s="52" t="s">
        <v>4</v>
      </c>
      <c r="C164" s="59">
        <f>IFERROR(VLOOKUP(C162,'5__Depreciação'!A3:B17,2,0),0)</f>
        <v>65.180000000000007</v>
      </c>
      <c r="D164" s="54">
        <f>E161</f>
        <v>536697.75</v>
      </c>
      <c r="E164" s="54">
        <f>C164*D164/100</f>
        <v>349819.59345000004</v>
      </c>
    </row>
    <row r="165" spans="1:10" ht="13.5" thickBot="1">
      <c r="A165" s="92" t="s">
        <v>86</v>
      </c>
      <c r="B165" s="93" t="s">
        <v>28</v>
      </c>
      <c r="C165" s="93">
        <f>C162*12</f>
        <v>120</v>
      </c>
      <c r="D165" s="94">
        <f>IF(C163&lt;=C162,E164,0)</f>
        <v>349819.59345000004</v>
      </c>
      <c r="E165" s="94">
        <f>IFERROR(D165/C165,0)</f>
        <v>2915.1632787500002</v>
      </c>
    </row>
    <row r="166" spans="1:10" ht="13.5" thickTop="1">
      <c r="A166" s="47" t="s">
        <v>87</v>
      </c>
      <c r="B166" s="48" t="s">
        <v>59</v>
      </c>
      <c r="C166" s="48">
        <v>1</v>
      </c>
      <c r="D166" s="49">
        <v>200000</v>
      </c>
      <c r="E166" s="50">
        <f>C166*D166</f>
        <v>200000</v>
      </c>
      <c r="G166" s="200"/>
    </row>
    <row r="167" spans="1:10">
      <c r="A167" s="51" t="s">
        <v>88</v>
      </c>
      <c r="B167" s="52" t="s">
        <v>83</v>
      </c>
      <c r="C167" s="60">
        <v>10</v>
      </c>
      <c r="D167" s="54"/>
      <c r="E167" s="54"/>
    </row>
    <row r="168" spans="1:10">
      <c r="A168" s="51" t="s">
        <v>89</v>
      </c>
      <c r="B168" s="52" t="s">
        <v>83</v>
      </c>
      <c r="C168" s="229">
        <v>10</v>
      </c>
      <c r="D168" s="54"/>
      <c r="E168" s="54"/>
      <c r="F168" s="90"/>
      <c r="I168" s="91"/>
      <c r="J168" s="91"/>
    </row>
    <row r="169" spans="1:10">
      <c r="A169" s="51" t="s">
        <v>90</v>
      </c>
      <c r="B169" s="52" t="s">
        <v>4</v>
      </c>
      <c r="C169" s="95">
        <f>IFERROR(VLOOKUP(C167,'5__Depreciação'!A3:B17,2,0),0)</f>
        <v>65.180000000000007</v>
      </c>
      <c r="D169" s="54">
        <f>E166</f>
        <v>200000</v>
      </c>
      <c r="E169" s="54">
        <f>C169*D169/100</f>
        <v>130360.00000000001</v>
      </c>
    </row>
    <row r="170" spans="1:10">
      <c r="A170" s="66" t="s">
        <v>91</v>
      </c>
      <c r="B170" s="39" t="s">
        <v>28</v>
      </c>
      <c r="C170" s="39">
        <v>120</v>
      </c>
      <c r="D170" s="10">
        <f>IF(C168&lt;=C167,E169,0)</f>
        <v>130360.00000000001</v>
      </c>
      <c r="E170" s="10">
        <f>IFERROR(D170/C170,0)</f>
        <v>1086.3333333333335</v>
      </c>
    </row>
    <row r="171" spans="1:10">
      <c r="A171" s="55" t="s">
        <v>92</v>
      </c>
      <c r="B171" s="56"/>
      <c r="C171" s="56"/>
      <c r="D171" s="57"/>
      <c r="E171" s="58">
        <f>E165+E170</f>
        <v>4001.4966120833337</v>
      </c>
    </row>
    <row r="172" spans="1:10">
      <c r="A172" s="66" t="s">
        <v>93</v>
      </c>
      <c r="B172" s="39" t="s">
        <v>59</v>
      </c>
      <c r="C172" s="60">
        <v>6</v>
      </c>
      <c r="D172" s="10">
        <f>E171</f>
        <v>4001.4966120833337</v>
      </c>
      <c r="E172" s="58">
        <f>C172*D172</f>
        <v>24008.979672500001</v>
      </c>
    </row>
    <row r="173" spans="1:10">
      <c r="A173" s="96"/>
      <c r="B173" s="96"/>
      <c r="C173" s="96"/>
      <c r="D173" s="61" t="s">
        <v>43</v>
      </c>
      <c r="E173" s="62">
        <v>1</v>
      </c>
      <c r="F173" s="88">
        <f>E172*E173</f>
        <v>24008.979672500001</v>
      </c>
    </row>
    <row r="174" spans="1:10" ht="11.25" customHeight="1"/>
    <row r="175" spans="1:10" ht="11.25" customHeight="1">
      <c r="A175" s="97" t="s">
        <v>94</v>
      </c>
    </row>
    <row r="176" spans="1:10" ht="11.25" customHeight="1"/>
    <row r="177" spans="1:10">
      <c r="A177" s="89" t="s">
        <v>95</v>
      </c>
    </row>
    <row r="178" spans="1:10">
      <c r="A178" s="98" t="s">
        <v>22</v>
      </c>
      <c r="B178" s="98" t="s">
        <v>23</v>
      </c>
      <c r="C178" s="98" t="s">
        <v>15</v>
      </c>
      <c r="D178" s="46" t="s">
        <v>24</v>
      </c>
      <c r="E178" s="99" t="s">
        <v>25</v>
      </c>
      <c r="F178" s="46" t="s">
        <v>26</v>
      </c>
      <c r="I178" s="91"/>
      <c r="J178" s="91"/>
    </row>
    <row r="179" spans="1:10">
      <c r="A179" s="51" t="s">
        <v>96</v>
      </c>
      <c r="B179" s="52" t="s">
        <v>59</v>
      </c>
      <c r="C179" s="48">
        <v>1</v>
      </c>
      <c r="D179" s="54">
        <f>D161</f>
        <v>536697.75</v>
      </c>
      <c r="E179" s="54">
        <f>C179*D179</f>
        <v>536697.75</v>
      </c>
      <c r="F179" s="90"/>
      <c r="I179" s="91"/>
      <c r="J179" s="91"/>
    </row>
    <row r="180" spans="1:10">
      <c r="A180" s="51" t="s">
        <v>97</v>
      </c>
      <c r="B180" s="52" t="s">
        <v>4</v>
      </c>
      <c r="C180" s="53">
        <v>15</v>
      </c>
      <c r="D180" s="54"/>
      <c r="E180" s="54"/>
      <c r="F180" s="90"/>
      <c r="I180" s="91"/>
      <c r="J180" s="91"/>
    </row>
    <row r="181" spans="1:10">
      <c r="A181" s="51" t="s">
        <v>98</v>
      </c>
      <c r="B181" s="52" t="s">
        <v>35</v>
      </c>
      <c r="C181" s="100">
        <f>IFERROR(IF(C163&lt;=C162,E161-(C164/(100*C162)*C163)*E161,E161-E164),0)</f>
        <v>186878.15654999996</v>
      </c>
      <c r="D181" s="54"/>
      <c r="E181" s="54"/>
      <c r="F181" s="90"/>
      <c r="I181" s="91"/>
      <c r="J181" s="91"/>
    </row>
    <row r="182" spans="1:10">
      <c r="A182" s="51" t="s">
        <v>99</v>
      </c>
      <c r="B182" s="52" t="s">
        <v>35</v>
      </c>
      <c r="C182" s="54">
        <f>IFERROR(IF(C163&gt;=C162,C181,((((C181)-(E161-E164))*(((C162-C163)+1)/(2*(C162-C163))))+(E161-E164))),0)</f>
        <v>186878.15654999996</v>
      </c>
      <c r="D182" s="54"/>
      <c r="E182" s="54"/>
      <c r="F182" s="90"/>
      <c r="I182" s="91"/>
      <c r="J182" s="91"/>
    </row>
    <row r="183" spans="1:10" ht="13.5" thickBot="1">
      <c r="A183" s="92" t="s">
        <v>100</v>
      </c>
      <c r="B183" s="93" t="s">
        <v>35</v>
      </c>
      <c r="C183" s="93"/>
      <c r="D183" s="94">
        <f>C180*C182/12/100</f>
        <v>2335.9769568749994</v>
      </c>
      <c r="E183" s="94">
        <f>D183</f>
        <v>2335.9769568749994</v>
      </c>
      <c r="F183" s="90"/>
      <c r="I183" s="91"/>
      <c r="J183" s="91"/>
    </row>
    <row r="184" spans="1:10" ht="13.5" thickTop="1">
      <c r="A184" s="47" t="s">
        <v>101</v>
      </c>
      <c r="B184" s="48" t="s">
        <v>59</v>
      </c>
      <c r="C184" s="48">
        <f>C166</f>
        <v>1</v>
      </c>
      <c r="D184" s="50">
        <f>D166</f>
        <v>200000</v>
      </c>
      <c r="E184" s="50">
        <f>C184*D184</f>
        <v>200000</v>
      </c>
      <c r="F184" s="90"/>
      <c r="I184" s="91"/>
      <c r="J184" s="91"/>
    </row>
    <row r="185" spans="1:10">
      <c r="A185" s="51" t="s">
        <v>97</v>
      </c>
      <c r="B185" s="52" t="s">
        <v>4</v>
      </c>
      <c r="C185" s="232">
        <f>C180</f>
        <v>15</v>
      </c>
      <c r="D185" s="54"/>
      <c r="E185" s="54"/>
      <c r="F185" s="90"/>
      <c r="I185" s="91"/>
      <c r="J185" s="91"/>
    </row>
    <row r="186" spans="1:10">
      <c r="A186" s="51" t="s">
        <v>102</v>
      </c>
      <c r="B186" s="52" t="s">
        <v>35</v>
      </c>
      <c r="C186" s="100">
        <f>IFERROR(IF(C168&lt;=C167,E166-(C169/(100*C167)*C168)*E166,E166-E169),0)</f>
        <v>69639.999999999985</v>
      </c>
      <c r="D186" s="54"/>
      <c r="E186" s="54"/>
      <c r="F186" s="90"/>
      <c r="I186" s="91"/>
      <c r="J186" s="91"/>
    </row>
    <row r="187" spans="1:10">
      <c r="A187" s="51" t="s">
        <v>103</v>
      </c>
      <c r="B187" s="52" t="s">
        <v>35</v>
      </c>
      <c r="C187" s="54">
        <f>IFERROR(IF(C168&gt;=C167,C186,((((C186)-(E166-E169))*(((C167-C168)+1)/(2*(C167-C168))))+(E166-E169))),0)</f>
        <v>69639.999999999985</v>
      </c>
      <c r="D187" s="54"/>
      <c r="E187" s="54"/>
      <c r="F187" s="90"/>
      <c r="I187" s="91"/>
      <c r="J187" s="91"/>
    </row>
    <row r="188" spans="1:10">
      <c r="A188" s="66" t="s">
        <v>104</v>
      </c>
      <c r="B188" s="39" t="s">
        <v>35</v>
      </c>
      <c r="C188" s="39"/>
      <c r="D188" s="10">
        <f>C185*C187/12/100</f>
        <v>870.49999999999989</v>
      </c>
      <c r="E188" s="10">
        <f>D188</f>
        <v>870.49999999999989</v>
      </c>
      <c r="F188" s="90"/>
      <c r="I188" s="91"/>
      <c r="J188" s="91"/>
    </row>
    <row r="189" spans="1:10">
      <c r="A189" s="55" t="s">
        <v>92</v>
      </c>
      <c r="B189" s="56"/>
      <c r="C189" s="56"/>
      <c r="D189" s="57"/>
      <c r="E189" s="58">
        <f>E183+E188</f>
        <v>3206.4769568749994</v>
      </c>
      <c r="F189" s="90"/>
      <c r="I189" s="91"/>
      <c r="J189" s="91"/>
    </row>
    <row r="190" spans="1:10">
      <c r="A190" s="66" t="s">
        <v>93</v>
      </c>
      <c r="B190" s="39" t="s">
        <v>59</v>
      </c>
      <c r="C190" s="52">
        <f>C172</f>
        <v>6</v>
      </c>
      <c r="D190" s="10">
        <f>E189</f>
        <v>3206.4769568749994</v>
      </c>
      <c r="E190" s="58">
        <f>C190*D190</f>
        <v>19238.861741249995</v>
      </c>
      <c r="F190" s="90"/>
      <c r="I190" s="91"/>
      <c r="J190" s="91"/>
    </row>
    <row r="191" spans="1:10">
      <c r="C191" s="101"/>
      <c r="D191" s="61" t="s">
        <v>43</v>
      </c>
      <c r="E191" s="62">
        <v>1</v>
      </c>
      <c r="F191" s="88">
        <f>E190*E191</f>
        <v>19238.861741249995</v>
      </c>
      <c r="I191" s="91"/>
      <c r="J191" s="91"/>
    </row>
    <row r="192" spans="1:10">
      <c r="C192" s="101"/>
      <c r="D192" s="61"/>
      <c r="E192" s="233"/>
      <c r="F192" s="234"/>
      <c r="I192" s="91"/>
      <c r="J192" s="91"/>
    </row>
    <row r="193" spans="1:10">
      <c r="A193" s="241" t="s">
        <v>327</v>
      </c>
      <c r="B193" s="242" t="s">
        <v>4</v>
      </c>
      <c r="C193" s="242">
        <v>0.1</v>
      </c>
      <c r="D193" s="243"/>
      <c r="E193" s="244"/>
      <c r="F193" s="245">
        <f>C193*F191</f>
        <v>1923.8861741249996</v>
      </c>
      <c r="I193" s="91"/>
      <c r="J193" s="91"/>
    </row>
    <row r="194" spans="1:10" ht="11.25" customHeight="1">
      <c r="I194" s="91"/>
      <c r="J194" s="91"/>
    </row>
    <row r="195" spans="1:10">
      <c r="A195" s="3" t="s">
        <v>105</v>
      </c>
      <c r="I195" s="91"/>
      <c r="J195" s="91"/>
    </row>
    <row r="196" spans="1:10">
      <c r="A196" s="45" t="s">
        <v>22</v>
      </c>
      <c r="B196" s="45" t="s">
        <v>23</v>
      </c>
      <c r="C196" s="45" t="s">
        <v>15</v>
      </c>
      <c r="D196" s="46" t="s">
        <v>24</v>
      </c>
      <c r="E196" s="46" t="s">
        <v>25</v>
      </c>
      <c r="F196" s="46" t="s">
        <v>26</v>
      </c>
      <c r="I196" s="91"/>
      <c r="J196" s="91"/>
    </row>
    <row r="197" spans="1:10">
      <c r="A197" s="47" t="s">
        <v>106</v>
      </c>
      <c r="B197" s="48" t="s">
        <v>59</v>
      </c>
      <c r="C197" s="50">
        <f>C172</f>
        <v>6</v>
      </c>
      <c r="D197" s="50">
        <f>0.01*($E$161)</f>
        <v>5366.9775</v>
      </c>
      <c r="E197" s="50">
        <f>C197*D197</f>
        <v>32201.864999999998</v>
      </c>
      <c r="I197" s="91"/>
      <c r="J197" s="91"/>
    </row>
    <row r="198" spans="1:10">
      <c r="A198" s="51" t="s">
        <v>107</v>
      </c>
      <c r="B198" s="52" t="s">
        <v>59</v>
      </c>
      <c r="C198" s="50">
        <f>C197</f>
        <v>6</v>
      </c>
      <c r="D198" s="76">
        <v>109.27</v>
      </c>
      <c r="E198" s="54">
        <f>C198*D198</f>
        <v>655.62</v>
      </c>
      <c r="I198" s="91"/>
      <c r="J198" s="91"/>
    </row>
    <row r="199" spans="1:10">
      <c r="A199" s="51" t="s">
        <v>108</v>
      </c>
      <c r="B199" s="52" t="s">
        <v>59</v>
      </c>
      <c r="C199" s="50">
        <f>C198</f>
        <v>6</v>
      </c>
      <c r="D199" s="76">
        <v>2650</v>
      </c>
      <c r="E199" s="54">
        <f>C199*D199</f>
        <v>15900</v>
      </c>
      <c r="F199" s="57"/>
      <c r="I199" s="91"/>
      <c r="J199" s="91"/>
    </row>
    <row r="200" spans="1:10">
      <c r="A200" s="66" t="s">
        <v>109</v>
      </c>
      <c r="B200" s="39" t="s">
        <v>28</v>
      </c>
      <c r="C200" s="39">
        <v>12</v>
      </c>
      <c r="D200" s="10">
        <f>SUM(E197:E199)</f>
        <v>48757.485000000001</v>
      </c>
      <c r="E200" s="10">
        <f>D200/C200</f>
        <v>4063.1237500000002</v>
      </c>
      <c r="I200" s="91"/>
      <c r="J200" s="91"/>
    </row>
    <row r="201" spans="1:10">
      <c r="D201" s="61" t="s">
        <v>43</v>
      </c>
      <c r="E201" s="62">
        <v>1</v>
      </c>
      <c r="F201" s="63">
        <f>E200*E201</f>
        <v>4063.1237500000002</v>
      </c>
      <c r="I201" s="91"/>
      <c r="J201" s="91"/>
    </row>
    <row r="202" spans="1:10" ht="6.75" customHeight="1">
      <c r="I202" s="91"/>
      <c r="J202" s="91"/>
    </row>
    <row r="203" spans="1:10">
      <c r="A203" s="3" t="s">
        <v>110</v>
      </c>
      <c r="B203" s="102"/>
      <c r="I203" s="91"/>
      <c r="J203" s="91"/>
    </row>
    <row r="204" spans="1:10" ht="5.25" customHeight="1">
      <c r="B204" s="102"/>
      <c r="I204" s="91"/>
      <c r="J204" s="91"/>
    </row>
    <row r="205" spans="1:10">
      <c r="A205" s="66" t="s">
        <v>111</v>
      </c>
      <c r="B205" s="103">
        <v>14040</v>
      </c>
      <c r="I205" s="91"/>
      <c r="J205" s="91"/>
    </row>
    <row r="206" spans="1:10" ht="9" customHeight="1">
      <c r="B206" s="102"/>
      <c r="I206" s="91"/>
      <c r="J206" s="91"/>
    </row>
    <row r="207" spans="1:10">
      <c r="A207" s="45" t="s">
        <v>22</v>
      </c>
      <c r="B207" s="45" t="s">
        <v>23</v>
      </c>
      <c r="C207" s="45" t="s">
        <v>112</v>
      </c>
      <c r="D207" s="46" t="s">
        <v>24</v>
      </c>
      <c r="E207" s="46" t="s">
        <v>25</v>
      </c>
      <c r="F207" s="46" t="s">
        <v>26</v>
      </c>
      <c r="I207" s="91"/>
      <c r="J207" s="91"/>
    </row>
    <row r="208" spans="1:10">
      <c r="A208" s="47" t="s">
        <v>113</v>
      </c>
      <c r="B208" s="48" t="s">
        <v>114</v>
      </c>
      <c r="C208" s="104">
        <v>2.5</v>
      </c>
      <c r="D208" s="105">
        <v>6.09</v>
      </c>
      <c r="E208" s="50"/>
      <c r="I208" s="91"/>
      <c r="J208" s="91"/>
    </row>
    <row r="209" spans="1:10">
      <c r="A209" s="51" t="s">
        <v>115</v>
      </c>
      <c r="B209" s="52" t="s">
        <v>116</v>
      </c>
      <c r="C209" s="70">
        <f>B205</f>
        <v>14040</v>
      </c>
      <c r="D209" s="106">
        <f>IFERROR(+D208/C208,"-")</f>
        <v>2.4359999999999999</v>
      </c>
      <c r="E209" s="54">
        <f>IFERROR(C209*D209,"-")</f>
        <v>34201.440000000002</v>
      </c>
      <c r="I209" s="91"/>
      <c r="J209" s="91"/>
    </row>
    <row r="210" spans="1:10">
      <c r="A210" s="51" t="s">
        <v>117</v>
      </c>
      <c r="B210" s="52" t="s">
        <v>118</v>
      </c>
      <c r="C210" s="107">
        <v>2.5</v>
      </c>
      <c r="D210" s="76">
        <v>30.34</v>
      </c>
      <c r="E210" s="54"/>
      <c r="I210" s="91"/>
      <c r="J210" s="91"/>
    </row>
    <row r="211" spans="1:10">
      <c r="A211" s="51" t="s">
        <v>119</v>
      </c>
      <c r="B211" s="52" t="s">
        <v>116</v>
      </c>
      <c r="C211" s="70">
        <f>C209</f>
        <v>14040</v>
      </c>
      <c r="D211" s="108">
        <f>+C210*D210/1000</f>
        <v>7.5850000000000001E-2</v>
      </c>
      <c r="E211" s="54">
        <f>C211*D211</f>
        <v>1064.934</v>
      </c>
      <c r="I211" s="91"/>
      <c r="J211" s="91"/>
    </row>
    <row r="212" spans="1:10">
      <c r="A212" s="51" t="s">
        <v>120</v>
      </c>
      <c r="B212" s="52" t="s">
        <v>118</v>
      </c>
      <c r="C212" s="107">
        <v>0.32</v>
      </c>
      <c r="D212" s="76">
        <v>23.8</v>
      </c>
      <c r="E212" s="54"/>
      <c r="I212" s="91"/>
      <c r="J212" s="91"/>
    </row>
    <row r="213" spans="1:10">
      <c r="A213" s="51" t="s">
        <v>121</v>
      </c>
      <c r="B213" s="52" t="s">
        <v>116</v>
      </c>
      <c r="C213" s="70">
        <f>C209</f>
        <v>14040</v>
      </c>
      <c r="D213" s="108">
        <f>+C212*D212/1000</f>
        <v>7.6160000000000004E-3</v>
      </c>
      <c r="E213" s="54">
        <f>C213*D213</f>
        <v>106.92864</v>
      </c>
      <c r="I213" s="91"/>
      <c r="J213" s="91"/>
    </row>
    <row r="214" spans="1:10">
      <c r="A214" s="51" t="s">
        <v>122</v>
      </c>
      <c r="B214" s="52" t="s">
        <v>118</v>
      </c>
      <c r="C214" s="107">
        <v>0.81</v>
      </c>
      <c r="D214" s="76">
        <v>14.25</v>
      </c>
      <c r="E214" s="54"/>
      <c r="I214" s="91"/>
      <c r="J214" s="91"/>
    </row>
    <row r="215" spans="1:10">
      <c r="A215" s="51" t="s">
        <v>123</v>
      </c>
      <c r="B215" s="52" t="s">
        <v>116</v>
      </c>
      <c r="C215" s="70">
        <f>C209</f>
        <v>14040</v>
      </c>
      <c r="D215" s="108">
        <f>+C214*D214/1000</f>
        <v>1.1542500000000001E-2</v>
      </c>
      <c r="E215" s="54">
        <f>C215*D215</f>
        <v>162.05670000000001</v>
      </c>
      <c r="I215" s="91"/>
      <c r="J215" s="91"/>
    </row>
    <row r="216" spans="1:10">
      <c r="A216" s="51" t="s">
        <v>124</v>
      </c>
      <c r="B216" s="52" t="s">
        <v>125</v>
      </c>
      <c r="C216" s="107">
        <v>0.4</v>
      </c>
      <c r="D216" s="76">
        <v>17.559999999999999</v>
      </c>
      <c r="E216" s="54"/>
      <c r="I216" s="91"/>
      <c r="J216" s="91"/>
    </row>
    <row r="217" spans="1:10">
      <c r="A217" s="51" t="s">
        <v>126</v>
      </c>
      <c r="B217" s="52" t="s">
        <v>116</v>
      </c>
      <c r="C217" s="70">
        <f>C209</f>
        <v>14040</v>
      </c>
      <c r="D217" s="108">
        <f>+C216*D216/1000</f>
        <v>7.0239999999999999E-3</v>
      </c>
      <c r="E217" s="54">
        <f>C217*D217</f>
        <v>98.616959999999992</v>
      </c>
      <c r="I217" s="91"/>
      <c r="J217" s="91"/>
    </row>
    <row r="218" spans="1:10">
      <c r="A218" s="66" t="s">
        <v>127</v>
      </c>
      <c r="B218" s="39" t="s">
        <v>128</v>
      </c>
      <c r="C218" s="109"/>
      <c r="D218" s="110">
        <f>IFERROR(D209+D211+D213+D215+D217,0)</f>
        <v>2.5380324999999999</v>
      </c>
      <c r="E218" s="54"/>
      <c r="I218" s="91"/>
      <c r="J218" s="91"/>
    </row>
    <row r="219" spans="1:10">
      <c r="F219" s="88">
        <f>SUM(E208:E217)</f>
        <v>35633.976300000002</v>
      </c>
      <c r="I219" s="91"/>
      <c r="J219" s="91"/>
    </row>
    <row r="220" spans="1:10" ht="6.75" customHeight="1">
      <c r="I220" s="91"/>
      <c r="J220" s="91"/>
    </row>
    <row r="221" spans="1:10">
      <c r="A221" s="3" t="s">
        <v>129</v>
      </c>
      <c r="I221" s="91"/>
      <c r="J221" s="91"/>
    </row>
    <row r="222" spans="1:10">
      <c r="A222" s="45" t="s">
        <v>22</v>
      </c>
      <c r="B222" s="45" t="s">
        <v>23</v>
      </c>
      <c r="C222" s="45" t="s">
        <v>15</v>
      </c>
      <c r="D222" s="46" t="s">
        <v>24</v>
      </c>
      <c r="E222" s="46" t="s">
        <v>25</v>
      </c>
      <c r="F222" s="46" t="s">
        <v>26</v>
      </c>
      <c r="I222" s="91"/>
      <c r="J222" s="91"/>
    </row>
    <row r="223" spans="1:10">
      <c r="A223" s="47" t="s">
        <v>130</v>
      </c>
      <c r="B223" s="48" t="s">
        <v>128</v>
      </c>
      <c r="C223" s="70">
        <f>C209</f>
        <v>14040</v>
      </c>
      <c r="D223" s="49">
        <v>0.85</v>
      </c>
      <c r="E223" s="50">
        <f>C223*D223</f>
        <v>11934</v>
      </c>
      <c r="I223" s="91"/>
      <c r="J223" s="91"/>
    </row>
    <row r="224" spans="1:10">
      <c r="F224" s="88">
        <f>E223</f>
        <v>11934</v>
      </c>
      <c r="I224" s="91"/>
      <c r="J224" s="91"/>
    </row>
    <row r="225" spans="1:10" ht="11.25" customHeight="1">
      <c r="I225" s="91"/>
      <c r="J225" s="91"/>
    </row>
    <row r="226" spans="1:10">
      <c r="A226" s="3" t="s">
        <v>131</v>
      </c>
      <c r="I226" s="91"/>
      <c r="J226" s="91"/>
    </row>
    <row r="227" spans="1:10">
      <c r="A227" s="45" t="s">
        <v>22</v>
      </c>
      <c r="B227" s="45" t="s">
        <v>23</v>
      </c>
      <c r="C227" s="45" t="s">
        <v>15</v>
      </c>
      <c r="D227" s="46" t="s">
        <v>24</v>
      </c>
      <c r="E227" s="46" t="s">
        <v>25</v>
      </c>
      <c r="F227" s="46" t="s">
        <v>26</v>
      </c>
      <c r="I227" s="91"/>
      <c r="J227" s="91"/>
    </row>
    <row r="228" spans="1:10">
      <c r="A228" s="47" t="s">
        <v>132</v>
      </c>
      <c r="B228" s="48" t="s">
        <v>59</v>
      </c>
      <c r="C228" s="111">
        <v>6</v>
      </c>
      <c r="D228" s="49">
        <v>2350</v>
      </c>
      <c r="E228" s="50">
        <f>C228*D228</f>
        <v>14100</v>
      </c>
      <c r="I228" s="91"/>
      <c r="J228" s="91"/>
    </row>
    <row r="229" spans="1:10">
      <c r="A229" s="47" t="s">
        <v>133</v>
      </c>
      <c r="B229" s="48" t="s">
        <v>59</v>
      </c>
      <c r="C229" s="111">
        <v>1</v>
      </c>
      <c r="D229" s="50"/>
      <c r="E229" s="50"/>
      <c r="I229" s="91"/>
      <c r="J229" s="91"/>
    </row>
    <row r="230" spans="1:10">
      <c r="A230" s="47" t="s">
        <v>134</v>
      </c>
      <c r="B230" s="48" t="s">
        <v>59</v>
      </c>
      <c r="C230" s="50">
        <f>C228*C229</f>
        <v>6</v>
      </c>
      <c r="D230" s="49">
        <v>600</v>
      </c>
      <c r="E230" s="50">
        <f>C230*D230</f>
        <v>3600</v>
      </c>
      <c r="I230" s="91"/>
      <c r="J230" s="91"/>
    </row>
    <row r="231" spans="1:10">
      <c r="A231" s="51" t="s">
        <v>135</v>
      </c>
      <c r="B231" s="52" t="s">
        <v>136</v>
      </c>
      <c r="C231" s="112">
        <v>70000</v>
      </c>
      <c r="D231" s="54">
        <f>E228+E230</f>
        <v>17700</v>
      </c>
      <c r="E231" s="54">
        <f>IFERROR(D231/C231,"-")</f>
        <v>0.25285714285714284</v>
      </c>
      <c r="I231" s="91"/>
      <c r="J231" s="91"/>
    </row>
    <row r="232" spans="1:10">
      <c r="A232" s="51" t="s">
        <v>137</v>
      </c>
      <c r="B232" s="52" t="s">
        <v>116</v>
      </c>
      <c r="C232" s="70">
        <f>B205</f>
        <v>14040</v>
      </c>
      <c r="D232" s="54">
        <f>E231</f>
        <v>0.25285714285714284</v>
      </c>
      <c r="E232" s="54">
        <f>IFERROR(C232*D232,0)</f>
        <v>3550.1142857142854</v>
      </c>
      <c r="I232" s="91"/>
      <c r="J232" s="91"/>
    </row>
    <row r="233" spans="1:10">
      <c r="F233" s="88">
        <f>E232</f>
        <v>3550.1142857142854</v>
      </c>
      <c r="I233" s="91"/>
      <c r="J233" s="91"/>
    </row>
    <row r="234" spans="1:10" ht="7.5" customHeight="1">
      <c r="I234" s="91"/>
      <c r="J234" s="91"/>
    </row>
    <row r="235" spans="1:10" ht="11.25" hidden="1" customHeight="1">
      <c r="A235" s="230" t="s">
        <v>5</v>
      </c>
      <c r="I235" s="91"/>
      <c r="J235" s="91"/>
    </row>
    <row r="236" spans="1:10" ht="11.25" hidden="1" customHeight="1">
      <c r="A236" s="15"/>
      <c r="I236" s="91"/>
      <c r="J236" s="91"/>
    </row>
    <row r="237" spans="1:10" ht="11.25" hidden="1" customHeight="1">
      <c r="A237" s="113" t="s">
        <v>6</v>
      </c>
      <c r="I237" s="91"/>
      <c r="J237" s="91"/>
    </row>
    <row r="238" spans="1:10" ht="11.25" hidden="1" customHeight="1">
      <c r="A238" s="45" t="s">
        <v>22</v>
      </c>
      <c r="B238" s="45" t="s">
        <v>23</v>
      </c>
      <c r="C238" s="45" t="s">
        <v>15</v>
      </c>
      <c r="D238" s="46" t="s">
        <v>24</v>
      </c>
      <c r="E238" s="46" t="s">
        <v>25</v>
      </c>
      <c r="F238" s="46" t="s">
        <v>26</v>
      </c>
      <c r="I238" s="91"/>
      <c r="J238" s="91"/>
    </row>
    <row r="239" spans="1:10" ht="11.25" hidden="1" customHeight="1">
      <c r="A239" s="47" t="s">
        <v>81</v>
      </c>
      <c r="B239" s="48" t="s">
        <v>59</v>
      </c>
      <c r="C239" s="48">
        <v>0</v>
      </c>
      <c r="D239" s="49">
        <v>100000</v>
      </c>
      <c r="E239" s="50">
        <f>C239*D239</f>
        <v>0</v>
      </c>
      <c r="I239" s="91"/>
      <c r="J239" s="91"/>
    </row>
    <row r="240" spans="1:10" ht="11.25" hidden="1" customHeight="1">
      <c r="A240" s="51" t="s">
        <v>82</v>
      </c>
      <c r="B240" s="52" t="s">
        <v>83</v>
      </c>
      <c r="C240" s="60">
        <v>10</v>
      </c>
      <c r="D240" s="54"/>
      <c r="E240" s="54"/>
      <c r="I240" s="91"/>
      <c r="J240" s="91"/>
    </row>
    <row r="241" spans="1:10" ht="11.25" hidden="1" customHeight="1">
      <c r="A241" s="51" t="s">
        <v>84</v>
      </c>
      <c r="B241" s="52" t="s">
        <v>83</v>
      </c>
      <c r="C241" s="60">
        <v>0</v>
      </c>
      <c r="D241" s="54"/>
      <c r="E241" s="54"/>
      <c r="F241" s="90"/>
      <c r="I241" s="91"/>
      <c r="J241" s="91"/>
    </row>
    <row r="242" spans="1:10" ht="11.25" hidden="1" customHeight="1">
      <c r="A242" s="51" t="s">
        <v>85</v>
      </c>
      <c r="B242" s="52" t="s">
        <v>4</v>
      </c>
      <c r="C242" s="59">
        <v>65.180000000000007</v>
      </c>
      <c r="D242" s="54">
        <f>E239</f>
        <v>0</v>
      </c>
      <c r="E242" s="54">
        <f>C242*D242/100</f>
        <v>0</v>
      </c>
      <c r="I242" s="91"/>
      <c r="J242" s="91"/>
    </row>
    <row r="243" spans="1:10" ht="11.25" hidden="1" customHeight="1" thickBot="1">
      <c r="A243" s="92" t="s">
        <v>86</v>
      </c>
      <c r="B243" s="93" t="s">
        <v>28</v>
      </c>
      <c r="C243" s="93">
        <f>C240*12</f>
        <v>120</v>
      </c>
      <c r="D243" s="94">
        <f>IF(C241&lt;=C240,E242,0)</f>
        <v>0</v>
      </c>
      <c r="E243" s="94">
        <f>IFERROR(D243/C243,0)</f>
        <v>0</v>
      </c>
      <c r="I243" s="91"/>
      <c r="J243" s="91"/>
    </row>
    <row r="244" spans="1:10" ht="11.25" hidden="1" customHeight="1" thickTop="1">
      <c r="A244" s="55" t="s">
        <v>92</v>
      </c>
      <c r="B244" s="56"/>
      <c r="C244" s="56"/>
      <c r="D244" s="57"/>
      <c r="E244" s="58">
        <f>E243</f>
        <v>0</v>
      </c>
      <c r="I244" s="91"/>
      <c r="J244" s="91"/>
    </row>
    <row r="245" spans="1:10" ht="11.25" hidden="1" customHeight="1">
      <c r="A245" s="66" t="s">
        <v>93</v>
      </c>
      <c r="B245" s="39" t="s">
        <v>59</v>
      </c>
      <c r="C245" s="60">
        <v>1</v>
      </c>
      <c r="D245" s="10">
        <f>E244</f>
        <v>0</v>
      </c>
      <c r="E245" s="58">
        <f>C245*D245</f>
        <v>0</v>
      </c>
      <c r="G245" s="3"/>
    </row>
    <row r="246" spans="1:10" ht="11.25" hidden="1" customHeight="1">
      <c r="A246" s="96"/>
      <c r="B246" s="96"/>
      <c r="C246" s="96"/>
      <c r="D246" s="61" t="s">
        <v>43</v>
      </c>
      <c r="E246" s="62">
        <v>1</v>
      </c>
      <c r="F246" s="88">
        <f>E245*E246</f>
        <v>0</v>
      </c>
      <c r="G246" s="3"/>
    </row>
    <row r="247" spans="1:10" ht="11.25" hidden="1" customHeight="1">
      <c r="G247" s="3"/>
    </row>
    <row r="248" spans="1:10" ht="11.25" hidden="1" customHeight="1">
      <c r="A248" s="3" t="s">
        <v>7</v>
      </c>
      <c r="G248" s="3"/>
    </row>
    <row r="249" spans="1:10" ht="11.25" hidden="1" customHeight="1">
      <c r="A249" s="98" t="s">
        <v>22</v>
      </c>
      <c r="B249" s="98" t="s">
        <v>23</v>
      </c>
      <c r="C249" s="98" t="s">
        <v>15</v>
      </c>
      <c r="D249" s="46" t="s">
        <v>24</v>
      </c>
      <c r="E249" s="99" t="s">
        <v>25</v>
      </c>
      <c r="F249" s="46" t="s">
        <v>26</v>
      </c>
      <c r="G249" s="3"/>
    </row>
    <row r="250" spans="1:10" ht="11.25" hidden="1" customHeight="1">
      <c r="A250" s="51" t="s">
        <v>96</v>
      </c>
      <c r="B250" s="52" t="s">
        <v>59</v>
      </c>
      <c r="C250" s="48">
        <v>1</v>
      </c>
      <c r="D250" s="54">
        <f>D239</f>
        <v>100000</v>
      </c>
      <c r="E250" s="54">
        <f>C250*D250</f>
        <v>100000</v>
      </c>
      <c r="F250" s="90"/>
      <c r="G250" s="3"/>
    </row>
    <row r="251" spans="1:10" ht="11.25" hidden="1" customHeight="1">
      <c r="A251" s="51" t="s">
        <v>97</v>
      </c>
      <c r="B251" s="52" t="s">
        <v>4</v>
      </c>
      <c r="C251" s="53">
        <f>C180</f>
        <v>15</v>
      </c>
      <c r="D251" s="54"/>
      <c r="E251" s="54"/>
      <c r="F251" s="90"/>
      <c r="G251" s="3"/>
    </row>
    <row r="252" spans="1:10" ht="11.25" hidden="1" customHeight="1">
      <c r="A252" s="51" t="s">
        <v>98</v>
      </c>
      <c r="B252" s="52" t="s">
        <v>35</v>
      </c>
      <c r="C252" s="100">
        <f>IFERROR(IF(C241&lt;=C240,E239-(C242/(100*C240)*C241)*E239,E239-E242),0)</f>
        <v>0</v>
      </c>
      <c r="D252" s="54"/>
      <c r="E252" s="54"/>
      <c r="F252" s="90"/>
      <c r="G252" s="3"/>
    </row>
    <row r="253" spans="1:10" ht="11.25" hidden="1" customHeight="1">
      <c r="A253" s="51" t="s">
        <v>99</v>
      </c>
      <c r="B253" s="52" t="s">
        <v>35</v>
      </c>
      <c r="C253" s="54">
        <f>IFERROR(IF(C241&gt;=C240,C252,((((C252)-(E239-E242))*(((C240-C241)+1)/(2*(C240-C241))))+(E239-E242))),0)</f>
        <v>0</v>
      </c>
      <c r="D253" s="54"/>
      <c r="E253" s="54"/>
      <c r="F253" s="90"/>
      <c r="G253" s="3"/>
    </row>
    <row r="254" spans="1:10" ht="11.25" hidden="1" customHeight="1" thickBot="1">
      <c r="A254" s="92" t="s">
        <v>100</v>
      </c>
      <c r="B254" s="93" t="s">
        <v>35</v>
      </c>
      <c r="C254" s="93"/>
      <c r="D254" s="94">
        <f>C251*C253/12/100</f>
        <v>0</v>
      </c>
      <c r="E254" s="94">
        <f>D254</f>
        <v>0</v>
      </c>
      <c r="F254" s="90"/>
      <c r="G254" s="3"/>
    </row>
    <row r="255" spans="1:10" ht="11.25" hidden="1" customHeight="1" thickTop="1">
      <c r="A255" s="55" t="s">
        <v>92</v>
      </c>
      <c r="B255" s="56"/>
      <c r="C255" s="56">
        <v>1</v>
      </c>
      <c r="D255" s="57">
        <v>77520</v>
      </c>
      <c r="E255" s="58">
        <f>E254</f>
        <v>0</v>
      </c>
      <c r="F255" s="274"/>
      <c r="G255" s="3"/>
    </row>
    <row r="256" spans="1:10" ht="11.25" hidden="1" customHeight="1">
      <c r="A256" s="66" t="s">
        <v>93</v>
      </c>
      <c r="B256" s="39" t="s">
        <v>59</v>
      </c>
      <c r="C256" s="52">
        <v>1</v>
      </c>
      <c r="D256" s="10">
        <f>E255</f>
        <v>0</v>
      </c>
      <c r="E256" s="58">
        <f>C256*D256</f>
        <v>0</v>
      </c>
      <c r="F256" s="90"/>
      <c r="G256" s="3"/>
    </row>
    <row r="257" spans="1:9" ht="11.25" hidden="1" customHeight="1">
      <c r="C257" s="101"/>
      <c r="D257" s="61" t="s">
        <v>43</v>
      </c>
      <c r="E257" s="62">
        <f>$B$47</f>
        <v>1</v>
      </c>
      <c r="F257" s="88">
        <f>E256*E257</f>
        <v>0</v>
      </c>
      <c r="G257" s="3"/>
    </row>
    <row r="258" spans="1:9" ht="11.25" hidden="1" customHeight="1">
      <c r="G258" s="3"/>
    </row>
    <row r="259" spans="1:9" ht="11.25" hidden="1" customHeight="1">
      <c r="A259" s="3" t="s">
        <v>8</v>
      </c>
      <c r="G259" s="3"/>
    </row>
    <row r="260" spans="1:9" ht="11.25" hidden="1" customHeight="1">
      <c r="A260" s="45" t="s">
        <v>22</v>
      </c>
      <c r="B260" s="45" t="s">
        <v>23</v>
      </c>
      <c r="C260" s="45" t="s">
        <v>15</v>
      </c>
      <c r="D260" s="46" t="s">
        <v>24</v>
      </c>
      <c r="E260" s="46" t="s">
        <v>25</v>
      </c>
      <c r="F260" s="46" t="s">
        <v>26</v>
      </c>
      <c r="G260" s="3"/>
    </row>
    <row r="261" spans="1:9" ht="11.25" hidden="1" customHeight="1">
      <c r="A261" s="47" t="s">
        <v>106</v>
      </c>
      <c r="B261" s="48" t="s">
        <v>59</v>
      </c>
      <c r="C261" s="50">
        <v>0</v>
      </c>
      <c r="D261" s="50">
        <f>0.03*($E$239)</f>
        <v>0</v>
      </c>
      <c r="E261" s="50">
        <f>C261*D261</f>
        <v>0</v>
      </c>
      <c r="G261" s="3"/>
    </row>
    <row r="262" spans="1:9" ht="11.25" hidden="1" customHeight="1">
      <c r="A262" s="51" t="s">
        <v>107</v>
      </c>
      <c r="B262" s="52" t="s">
        <v>59</v>
      </c>
      <c r="C262" s="50">
        <v>0</v>
      </c>
      <c r="D262" s="76">
        <v>109.27</v>
      </c>
      <c r="E262" s="54">
        <f>C262*D262</f>
        <v>0</v>
      </c>
      <c r="G262" s="3"/>
    </row>
    <row r="263" spans="1:9" ht="11.25" hidden="1" customHeight="1">
      <c r="A263" s="51" t="s">
        <v>108</v>
      </c>
      <c r="B263" s="52" t="s">
        <v>59</v>
      </c>
      <c r="C263" s="50">
        <v>0</v>
      </c>
      <c r="D263" s="76">
        <v>2200</v>
      </c>
      <c r="E263" s="54">
        <f>C263*D263</f>
        <v>0</v>
      </c>
      <c r="F263" s="57"/>
      <c r="G263" s="3"/>
      <c r="I263" s="200"/>
    </row>
    <row r="264" spans="1:9" ht="11.25" hidden="1" customHeight="1">
      <c r="A264" s="66" t="s">
        <v>109</v>
      </c>
      <c r="B264" s="39" t="s">
        <v>28</v>
      </c>
      <c r="C264" s="39">
        <v>12</v>
      </c>
      <c r="D264" s="10">
        <f>SUM(E261:E263)</f>
        <v>0</v>
      </c>
      <c r="E264" s="10">
        <f>D264/C264</f>
        <v>0</v>
      </c>
      <c r="G264" s="3"/>
    </row>
    <row r="265" spans="1:9" ht="11.25" hidden="1" customHeight="1">
      <c r="D265" s="61" t="s">
        <v>43</v>
      </c>
      <c r="E265" s="62">
        <f>$B$47</f>
        <v>1</v>
      </c>
      <c r="F265" s="63">
        <f>E264*E265</f>
        <v>0</v>
      </c>
      <c r="G265" s="3"/>
    </row>
    <row r="266" spans="1:9" ht="11.25" hidden="1" customHeight="1">
      <c r="G266" s="3"/>
    </row>
    <row r="267" spans="1:9" ht="11.25" hidden="1" customHeight="1">
      <c r="A267" s="3" t="s">
        <v>9</v>
      </c>
      <c r="B267" s="102"/>
      <c r="G267" s="3"/>
    </row>
    <row r="268" spans="1:9" ht="11.25" hidden="1" customHeight="1">
      <c r="A268" s="66" t="s">
        <v>111</v>
      </c>
      <c r="B268" s="103">
        <v>1000</v>
      </c>
      <c r="G268" s="3"/>
    </row>
    <row r="269" spans="1:9" ht="11.25" hidden="1" customHeight="1">
      <c r="B269" s="102"/>
      <c r="G269" s="3"/>
    </row>
    <row r="270" spans="1:9" ht="11.25" hidden="1" customHeight="1">
      <c r="A270" s="45" t="s">
        <v>22</v>
      </c>
      <c r="B270" s="45" t="s">
        <v>23</v>
      </c>
      <c r="C270" s="45" t="s">
        <v>112</v>
      </c>
      <c r="D270" s="46" t="s">
        <v>24</v>
      </c>
      <c r="E270" s="46" t="s">
        <v>25</v>
      </c>
      <c r="F270" s="46" t="s">
        <v>26</v>
      </c>
      <c r="G270" s="3"/>
    </row>
    <row r="271" spans="1:9" ht="11.25" hidden="1" customHeight="1">
      <c r="A271" s="47" t="s">
        <v>138</v>
      </c>
      <c r="B271" s="48" t="s">
        <v>114</v>
      </c>
      <c r="C271" s="104">
        <v>0</v>
      </c>
      <c r="D271" s="105">
        <v>6.5</v>
      </c>
      <c r="E271" s="50"/>
      <c r="G271" s="3"/>
    </row>
    <row r="272" spans="1:9" ht="11.25" hidden="1" customHeight="1">
      <c r="A272" s="51" t="s">
        <v>139</v>
      </c>
      <c r="B272" s="52" t="s">
        <v>116</v>
      </c>
      <c r="C272" s="70">
        <f>B268</f>
        <v>1000</v>
      </c>
      <c r="D272" s="106" t="str">
        <f>IFERROR(+D271/C271,"-")</f>
        <v>-</v>
      </c>
      <c r="E272" s="54" t="str">
        <f>IFERROR(C272*D272,"-")</f>
        <v>-</v>
      </c>
      <c r="G272" s="3"/>
    </row>
    <row r="273" spans="1:10" ht="11.25" hidden="1" customHeight="1">
      <c r="A273" s="51" t="s">
        <v>117</v>
      </c>
      <c r="B273" s="52" t="s">
        <v>118</v>
      </c>
      <c r="C273" s="107">
        <v>0</v>
      </c>
      <c r="D273" s="76">
        <v>28</v>
      </c>
      <c r="E273" s="54"/>
      <c r="G273" s="3"/>
    </row>
    <row r="274" spans="1:10" ht="11.25" hidden="1" customHeight="1">
      <c r="A274" s="51" t="s">
        <v>119</v>
      </c>
      <c r="B274" s="52" t="s">
        <v>116</v>
      </c>
      <c r="C274" s="70">
        <f>C272</f>
        <v>1000</v>
      </c>
      <c r="D274" s="108">
        <f>+C273*D273/1000</f>
        <v>0</v>
      </c>
      <c r="E274" s="54">
        <f>C274*D274</f>
        <v>0</v>
      </c>
      <c r="G274" s="3"/>
    </row>
    <row r="275" spans="1:10" ht="11.25" hidden="1" customHeight="1">
      <c r="A275" s="66" t="s">
        <v>127</v>
      </c>
      <c r="B275" s="39" t="s">
        <v>128</v>
      </c>
      <c r="C275" s="109"/>
      <c r="D275" s="110">
        <f>IFERROR(D272+D274+D270+D272+D274,0)</f>
        <v>0</v>
      </c>
      <c r="E275" s="54"/>
      <c r="G275" s="3"/>
    </row>
    <row r="276" spans="1:10" ht="11.25" hidden="1" customHeight="1">
      <c r="F276" s="88">
        <f>SUM(E271:E274)</f>
        <v>0</v>
      </c>
      <c r="G276" s="3"/>
    </row>
    <row r="277" spans="1:10" ht="11.25" hidden="1" customHeight="1">
      <c r="G277" s="3"/>
    </row>
    <row r="278" spans="1:10" hidden="1">
      <c r="A278" s="3" t="s">
        <v>10</v>
      </c>
      <c r="I278" s="91"/>
      <c r="J278" s="91"/>
    </row>
    <row r="279" spans="1:10" hidden="1">
      <c r="A279" s="45" t="s">
        <v>22</v>
      </c>
      <c r="B279" s="45" t="s">
        <v>23</v>
      </c>
      <c r="C279" s="45" t="s">
        <v>15</v>
      </c>
      <c r="D279" s="46" t="s">
        <v>24</v>
      </c>
      <c r="E279" s="46" t="s">
        <v>25</v>
      </c>
      <c r="F279" s="46" t="s">
        <v>26</v>
      </c>
      <c r="I279" s="91"/>
      <c r="J279" s="91"/>
    </row>
    <row r="280" spans="1:10" hidden="1">
      <c r="A280" s="47" t="s">
        <v>140</v>
      </c>
      <c r="B280" s="48" t="s">
        <v>128</v>
      </c>
      <c r="C280" s="70">
        <v>0</v>
      </c>
      <c r="D280" s="49">
        <v>0.45</v>
      </c>
      <c r="E280" s="50">
        <f>C280*D280</f>
        <v>0</v>
      </c>
      <c r="I280" s="91"/>
      <c r="J280" s="91"/>
    </row>
    <row r="281" spans="1:10" hidden="1">
      <c r="F281" s="88">
        <f>E280</f>
        <v>0</v>
      </c>
      <c r="I281" s="91"/>
      <c r="J281" s="91"/>
    </row>
    <row r="282" spans="1:10" ht="11.25" hidden="1" customHeight="1">
      <c r="I282" s="91"/>
      <c r="J282" s="91"/>
    </row>
    <row r="283" spans="1:10" hidden="1">
      <c r="A283" s="3" t="s">
        <v>11</v>
      </c>
      <c r="I283" s="91"/>
      <c r="J283" s="91"/>
    </row>
    <row r="284" spans="1:10" hidden="1">
      <c r="A284" s="45" t="s">
        <v>22</v>
      </c>
      <c r="B284" s="45" t="s">
        <v>23</v>
      </c>
      <c r="C284" s="45" t="s">
        <v>15</v>
      </c>
      <c r="D284" s="46" t="s">
        <v>24</v>
      </c>
      <c r="E284" s="46" t="s">
        <v>25</v>
      </c>
      <c r="F284" s="46" t="s">
        <v>26</v>
      </c>
      <c r="I284" s="91"/>
      <c r="J284" s="91"/>
    </row>
    <row r="285" spans="1:10" hidden="1">
      <c r="A285" s="47" t="s">
        <v>141</v>
      </c>
      <c r="B285" s="48" t="s">
        <v>59</v>
      </c>
      <c r="C285" s="111">
        <v>0</v>
      </c>
      <c r="D285" s="49">
        <v>450</v>
      </c>
      <c r="E285" s="50">
        <f>C285*D285</f>
        <v>0</v>
      </c>
      <c r="I285" s="91"/>
      <c r="J285" s="91"/>
    </row>
    <row r="286" spans="1:10" hidden="1">
      <c r="A286" s="114" t="s">
        <v>142</v>
      </c>
      <c r="B286" s="52" t="s">
        <v>136</v>
      </c>
      <c r="C286" s="112">
        <v>50000</v>
      </c>
      <c r="D286" s="54">
        <f>E285</f>
        <v>0</v>
      </c>
      <c r="E286" s="54">
        <f>IFERROR(D286/C286,"-")</f>
        <v>0</v>
      </c>
      <c r="I286" s="91"/>
      <c r="J286" s="91"/>
    </row>
    <row r="287" spans="1:10" hidden="1">
      <c r="A287" s="51" t="s">
        <v>137</v>
      </c>
      <c r="B287" s="52" t="s">
        <v>116</v>
      </c>
      <c r="C287" s="70">
        <f>B268</f>
        <v>1000</v>
      </c>
      <c r="D287" s="54">
        <f>E286</f>
        <v>0</v>
      </c>
      <c r="E287" s="54">
        <f>IFERROR(C287*D287,0)</f>
        <v>0</v>
      </c>
      <c r="I287" s="91"/>
      <c r="J287" s="91"/>
    </row>
    <row r="288" spans="1:10" hidden="1">
      <c r="F288" s="88">
        <f>E287</f>
        <v>0</v>
      </c>
      <c r="I288" s="91"/>
      <c r="J288" s="91"/>
    </row>
    <row r="289" spans="1:7" ht="3.75" customHeight="1">
      <c r="G289" s="3"/>
    </row>
    <row r="290" spans="1:7" ht="6" customHeight="1">
      <c r="G290" s="3"/>
    </row>
    <row r="291" spans="1:7">
      <c r="A291" s="77" t="s">
        <v>143</v>
      </c>
      <c r="B291" s="78"/>
      <c r="C291" s="78"/>
      <c r="D291" s="8"/>
      <c r="E291" s="79"/>
      <c r="F291" s="88">
        <f>+SUM(F161:F288)</f>
        <v>100352.94192358927</v>
      </c>
      <c r="G291" s="3"/>
    </row>
    <row r="292" spans="1:7" ht="11.25" customHeight="1">
      <c r="G292" s="3"/>
    </row>
    <row r="293" spans="1:7">
      <c r="A293" s="15" t="s">
        <v>144</v>
      </c>
      <c r="B293" s="15"/>
      <c r="C293" s="15"/>
      <c r="D293" s="14"/>
      <c r="E293" s="14"/>
      <c r="F293" s="57"/>
      <c r="G293" s="3"/>
    </row>
    <row r="294" spans="1:7" ht="6" customHeight="1">
      <c r="G294" s="3"/>
    </row>
    <row r="295" spans="1:7">
      <c r="A295" s="45" t="s">
        <v>22</v>
      </c>
      <c r="B295" s="45" t="s">
        <v>23</v>
      </c>
      <c r="C295" s="45" t="s">
        <v>15</v>
      </c>
      <c r="D295" s="46" t="s">
        <v>24</v>
      </c>
      <c r="E295" s="46" t="s">
        <v>25</v>
      </c>
      <c r="F295" s="46" t="s">
        <v>26</v>
      </c>
      <c r="G295" s="3"/>
    </row>
    <row r="296" spans="1:7">
      <c r="A296" s="51" t="s">
        <v>145</v>
      </c>
      <c r="B296" s="52" t="s">
        <v>59</v>
      </c>
      <c r="C296" s="81">
        <v>8.3333333333333301E-2</v>
      </c>
      <c r="D296" s="49">
        <v>36.49</v>
      </c>
      <c r="E296" s="54">
        <f>C296*D296*6</f>
        <v>18.244999999999994</v>
      </c>
      <c r="F296" s="90"/>
      <c r="G296" s="3"/>
    </row>
    <row r="297" spans="1:7">
      <c r="A297" s="51" t="s">
        <v>146</v>
      </c>
      <c r="B297" s="52" t="s">
        <v>59</v>
      </c>
      <c r="C297" s="81">
        <v>8.3333333333333301E-2</v>
      </c>
      <c r="D297" s="49">
        <v>31.98</v>
      </c>
      <c r="E297" s="54">
        <f>C297*D297*6</f>
        <v>15.989999999999995</v>
      </c>
      <c r="F297" s="90"/>
      <c r="G297" s="3"/>
    </row>
    <row r="298" spans="1:7">
      <c r="A298" s="51" t="s">
        <v>147</v>
      </c>
      <c r="B298" s="52" t="s">
        <v>59</v>
      </c>
      <c r="C298" s="81">
        <v>0.16666666666666699</v>
      </c>
      <c r="D298" s="49">
        <v>17.16</v>
      </c>
      <c r="E298" s="54">
        <f>C298*D298*6</f>
        <v>17.160000000000032</v>
      </c>
      <c r="F298" s="90"/>
      <c r="G298" s="3"/>
    </row>
    <row r="299" spans="1:7">
      <c r="A299" s="51" t="s">
        <v>148</v>
      </c>
      <c r="B299" s="52" t="s">
        <v>149</v>
      </c>
      <c r="C299" s="81"/>
      <c r="D299" s="49"/>
      <c r="E299" s="54">
        <f>C299*D299</f>
        <v>0</v>
      </c>
      <c r="F299" s="90"/>
      <c r="G299" s="3"/>
    </row>
    <row r="300" spans="1:7">
      <c r="A300" s="51" t="s">
        <v>150</v>
      </c>
      <c r="B300" s="52" t="s">
        <v>149</v>
      </c>
      <c r="C300" s="81"/>
      <c r="D300" s="49">
        <v>0</v>
      </c>
      <c r="E300" s="54">
        <f>C300*D300</f>
        <v>0</v>
      </c>
      <c r="F300" s="90"/>
      <c r="G300" s="3"/>
    </row>
    <row r="301" spans="1:7">
      <c r="A301" s="15"/>
      <c r="B301" s="15"/>
      <c r="C301" s="15"/>
      <c r="D301" s="15"/>
      <c r="E301" s="14"/>
      <c r="F301" s="88">
        <f>SUM(E296:E300)</f>
        <v>51.395000000000017</v>
      </c>
      <c r="G301" s="3"/>
    </row>
    <row r="302" spans="1:7" ht="11.25" customHeight="1">
      <c r="G302" s="3"/>
    </row>
    <row r="303" spans="1:7">
      <c r="A303" s="77" t="s">
        <v>151</v>
      </c>
      <c r="B303" s="78"/>
      <c r="C303" s="78"/>
      <c r="D303" s="8"/>
      <c r="E303" s="79"/>
      <c r="F303" s="88">
        <f>+F301</f>
        <v>51.395000000000017</v>
      </c>
      <c r="G303" s="3"/>
    </row>
    <row r="304" spans="1:7" ht="11.25" customHeight="1">
      <c r="G304" s="3"/>
    </row>
    <row r="305" spans="1:64">
      <c r="A305" s="15" t="s">
        <v>152</v>
      </c>
      <c r="B305" s="15"/>
      <c r="C305" s="15"/>
      <c r="D305" s="14"/>
      <c r="E305" s="14"/>
      <c r="F305" s="57"/>
    </row>
    <row r="306" spans="1:64" ht="6" customHeight="1"/>
    <row r="307" spans="1:64">
      <c r="A307" s="45" t="s">
        <v>22</v>
      </c>
      <c r="B307" s="45" t="s">
        <v>23</v>
      </c>
      <c r="C307" s="45" t="s">
        <v>15</v>
      </c>
      <c r="D307" s="46" t="s">
        <v>24</v>
      </c>
      <c r="E307" s="46" t="s">
        <v>25</v>
      </c>
      <c r="F307" s="46" t="s">
        <v>26</v>
      </c>
    </row>
    <row r="308" spans="1:64">
      <c r="A308" s="51" t="s">
        <v>153</v>
      </c>
      <c r="B308" s="115" t="s">
        <v>149</v>
      </c>
      <c r="C308" s="86">
        <v>6</v>
      </c>
      <c r="D308" s="76">
        <v>75</v>
      </c>
      <c r="E308" s="54">
        <f>+D308*C308</f>
        <v>450</v>
      </c>
      <c r="F308" s="90"/>
    </row>
    <row r="309" spans="1:64">
      <c r="A309" s="51" t="s">
        <v>154</v>
      </c>
      <c r="B309" s="115" t="s">
        <v>28</v>
      </c>
      <c r="C309" s="52">
        <v>60</v>
      </c>
      <c r="D309" s="116">
        <f>SUM(E308:E308)</f>
        <v>450</v>
      </c>
      <c r="E309" s="116">
        <f>+D309/C309</f>
        <v>7.5</v>
      </c>
      <c r="F309" s="90"/>
    </row>
    <row r="310" spans="1:64">
      <c r="A310" s="51" t="s">
        <v>155</v>
      </c>
      <c r="B310" s="52" t="s">
        <v>59</v>
      </c>
      <c r="C310" s="86">
        <f>+C308</f>
        <v>6</v>
      </c>
      <c r="D310" s="76">
        <v>75</v>
      </c>
      <c r="E310" s="54">
        <f>C310*D310</f>
        <v>450</v>
      </c>
      <c r="F310" s="90"/>
    </row>
    <row r="311" spans="1:64">
      <c r="A311" s="51" t="s">
        <v>156</v>
      </c>
      <c r="B311" s="115" t="s">
        <v>28</v>
      </c>
      <c r="C311" s="52">
        <v>1</v>
      </c>
      <c r="D311" s="116">
        <f>+E310</f>
        <v>450</v>
      </c>
      <c r="E311" s="116">
        <f>+D311/C311</f>
        <v>450</v>
      </c>
      <c r="F311" s="90"/>
    </row>
    <row r="312" spans="1:64">
      <c r="A312" s="64"/>
      <c r="B312" s="64"/>
      <c r="C312" s="64"/>
      <c r="D312" s="61" t="s">
        <v>43</v>
      </c>
      <c r="E312" s="62">
        <f>$B$47</f>
        <v>1</v>
      </c>
      <c r="F312" s="88">
        <f>(E309+E311)*E312</f>
        <v>457.5</v>
      </c>
    </row>
    <row r="313" spans="1:64" ht="11.25" customHeight="1">
      <c r="G313" s="117"/>
      <c r="H313" s="72"/>
      <c r="I313" s="72"/>
      <c r="J313" s="72"/>
      <c r="K313" s="72"/>
      <c r="L313" s="72"/>
      <c r="M313" s="72"/>
      <c r="N313" s="72"/>
      <c r="O313" s="72"/>
      <c r="P313" s="72"/>
      <c r="Q313" s="72"/>
      <c r="R313" s="72"/>
      <c r="S313" s="72"/>
      <c r="T313" s="72"/>
      <c r="U313" s="72"/>
      <c r="V313" s="72"/>
      <c r="W313" s="72"/>
      <c r="X313" s="72"/>
      <c r="Y313" s="72"/>
      <c r="Z313" s="72"/>
      <c r="AA313" s="72"/>
      <c r="AB313" s="72"/>
      <c r="AC313" s="72"/>
      <c r="AD313" s="72"/>
      <c r="AE313" s="72"/>
      <c r="AF313" s="72"/>
      <c r="AG313" s="72"/>
      <c r="AH313" s="72"/>
      <c r="AI313" s="72"/>
      <c r="AJ313" s="72"/>
      <c r="AK313" s="72"/>
      <c r="AL313" s="72"/>
      <c r="AM313" s="72"/>
      <c r="AN313" s="72"/>
      <c r="AO313" s="72"/>
      <c r="AP313" s="72"/>
      <c r="AQ313" s="72"/>
      <c r="AR313" s="72"/>
      <c r="AS313" s="72"/>
      <c r="AT313" s="72"/>
      <c r="AU313" s="72"/>
      <c r="AV313" s="72"/>
      <c r="AW313" s="72"/>
      <c r="AX313" s="72"/>
      <c r="AY313" s="72"/>
      <c r="AZ313" s="72"/>
      <c r="BA313" s="72"/>
      <c r="BB313" s="72"/>
      <c r="BC313" s="72"/>
      <c r="BD313" s="72"/>
      <c r="BE313" s="72"/>
      <c r="BF313" s="72"/>
      <c r="BG313" s="72"/>
      <c r="BH313" s="72"/>
      <c r="BI313" s="72"/>
      <c r="BJ313" s="72"/>
      <c r="BK313" s="72"/>
      <c r="BL313" s="72"/>
    </row>
    <row r="314" spans="1:64">
      <c r="A314" s="77" t="s">
        <v>157</v>
      </c>
      <c r="B314" s="78"/>
      <c r="C314" s="78"/>
      <c r="D314" s="8"/>
      <c r="E314" s="79"/>
      <c r="F314" s="88">
        <f>+F312</f>
        <v>457.5</v>
      </c>
    </row>
    <row r="315" spans="1:64" ht="11.25" customHeight="1"/>
    <row r="316" spans="1:64" ht="17.25" customHeight="1">
      <c r="A316" s="77" t="s">
        <v>158</v>
      </c>
      <c r="B316" s="40"/>
      <c r="C316" s="40"/>
      <c r="D316" s="29"/>
      <c r="E316" s="87"/>
      <c r="F316" s="75">
        <f ca="1">+F121+F153+F291+F303+F314</f>
        <v>267056.07102665451</v>
      </c>
    </row>
    <row r="317" spans="1:64" ht="11.25" customHeight="1"/>
    <row r="318" spans="1:64">
      <c r="A318" s="15" t="s">
        <v>159</v>
      </c>
    </row>
    <row r="319" spans="1:64" ht="11.25" customHeight="1"/>
    <row r="320" spans="1:64">
      <c r="A320" s="45" t="s">
        <v>22</v>
      </c>
      <c r="B320" s="45" t="s">
        <v>23</v>
      </c>
      <c r="C320" s="45" t="s">
        <v>15</v>
      </c>
      <c r="D320" s="46" t="s">
        <v>24</v>
      </c>
      <c r="E320" s="46" t="s">
        <v>25</v>
      </c>
      <c r="F320" s="46" t="s">
        <v>26</v>
      </c>
    </row>
    <row r="321" spans="1:64">
      <c r="A321" s="47" t="s">
        <v>160</v>
      </c>
      <c r="B321" s="48" t="s">
        <v>4</v>
      </c>
      <c r="C321" s="59">
        <f>'4_BDI'!C20*100</f>
        <v>24.89</v>
      </c>
      <c r="D321" s="50">
        <f ca="1">+F316</f>
        <v>267056.07102665451</v>
      </c>
      <c r="E321" s="50">
        <f ca="1">C321*D321/100</f>
        <v>66470.256078534308</v>
      </c>
    </row>
    <row r="322" spans="1:64">
      <c r="F322" s="88">
        <f ca="1">+E321</f>
        <v>66470.256078534308</v>
      </c>
    </row>
    <row r="323" spans="1:64" ht="11.25" customHeight="1"/>
    <row r="324" spans="1:64">
      <c r="A324" s="77" t="s">
        <v>161</v>
      </c>
      <c r="B324" s="40"/>
      <c r="C324" s="40"/>
      <c r="D324" s="29"/>
      <c r="E324" s="87"/>
      <c r="F324" s="75">
        <f ca="1">F322</f>
        <v>66470.256078534308</v>
      </c>
    </row>
    <row r="325" spans="1:64">
      <c r="A325" s="15"/>
      <c r="B325" s="15"/>
      <c r="C325" s="15"/>
      <c r="D325" s="14"/>
      <c r="E325" s="14"/>
      <c r="F325" s="57"/>
    </row>
    <row r="326" spans="1:64" ht="11.25" customHeight="1"/>
    <row r="327" spans="1:64" ht="24.75" customHeight="1">
      <c r="A327" s="77" t="s">
        <v>162</v>
      </c>
      <c r="B327" s="40"/>
      <c r="C327" s="40"/>
      <c r="D327" s="29"/>
      <c r="E327" s="87"/>
      <c r="F327" s="75">
        <f ca="1">F316+F324</f>
        <v>333526.3271051888</v>
      </c>
      <c r="H327" s="217">
        <f ca="1">F327/6</f>
        <v>55587.721184198133</v>
      </c>
    </row>
    <row r="328" spans="1:64" ht="20.100000000000001" customHeight="1">
      <c r="A328" s="15"/>
      <c r="B328" s="15"/>
      <c r="C328" s="15"/>
      <c r="D328" s="14"/>
      <c r="E328" s="14"/>
      <c r="F328" s="14"/>
    </row>
    <row r="329" spans="1:64" ht="17.100000000000001" customHeight="1">
      <c r="A329" s="319" t="s">
        <v>328</v>
      </c>
      <c r="B329" s="320"/>
      <c r="C329" s="321"/>
      <c r="D329" s="237">
        <f>MemoriaCalculo!E24</f>
        <v>1408.4885444444444</v>
      </c>
      <c r="E329" s="237" t="s">
        <v>331</v>
      </c>
      <c r="G329" s="4"/>
      <c r="H329" s="5"/>
      <c r="I329" s="201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5"/>
      <c r="AF329" s="5"/>
      <c r="AG329" s="5"/>
      <c r="AH329" s="5"/>
      <c r="AI329" s="5"/>
      <c r="AJ329" s="5"/>
      <c r="AK329" s="5"/>
      <c r="AL329" s="5"/>
      <c r="AM329" s="5"/>
      <c r="AN329" s="5"/>
      <c r="AO329" s="5"/>
      <c r="AP329" s="5"/>
      <c r="AQ329" s="5"/>
      <c r="AR329" s="5"/>
      <c r="AS329" s="5"/>
      <c r="AT329" s="5"/>
      <c r="AU329" s="5"/>
      <c r="AV329" s="5"/>
      <c r="AW329" s="5"/>
      <c r="AX329" s="5"/>
      <c r="AY329" s="5"/>
      <c r="AZ329" s="5"/>
      <c r="BA329" s="5"/>
      <c r="BB329" s="5"/>
      <c r="BC329" s="5"/>
      <c r="BD329" s="5"/>
      <c r="BE329" s="5"/>
      <c r="BF329" s="5"/>
      <c r="BG329" s="5"/>
      <c r="BH329" s="5"/>
      <c r="BI329" s="5"/>
      <c r="BJ329" s="5"/>
      <c r="BK329" s="5"/>
      <c r="BL329" s="5"/>
    </row>
    <row r="330" spans="1:64" ht="20.100000000000001" customHeight="1">
      <c r="A330" s="119"/>
      <c r="B330" s="2"/>
      <c r="C330" s="2"/>
      <c r="G330" s="4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  <c r="AF330" s="5"/>
      <c r="AG330" s="5"/>
      <c r="AH330" s="5"/>
      <c r="AI330" s="5"/>
      <c r="AJ330" s="5"/>
      <c r="AK330" s="5"/>
      <c r="AL330" s="5"/>
      <c r="AM330" s="5"/>
      <c r="AN330" s="5"/>
      <c r="AO330" s="5"/>
      <c r="AP330" s="5"/>
      <c r="AQ330" s="5"/>
      <c r="AR330" s="5"/>
      <c r="AS330" s="5"/>
      <c r="AT330" s="5"/>
      <c r="AU330" s="5"/>
      <c r="AV330" s="5"/>
      <c r="AW330" s="5"/>
      <c r="AX330" s="5"/>
      <c r="AY330" s="5"/>
      <c r="AZ330" s="5"/>
      <c r="BA330" s="5"/>
      <c r="BB330" s="5"/>
      <c r="BC330" s="5"/>
      <c r="BD330" s="5"/>
      <c r="BE330" s="5"/>
      <c r="BF330" s="5"/>
      <c r="BG330" s="5"/>
      <c r="BH330" s="5"/>
      <c r="BI330" s="5"/>
      <c r="BJ330" s="5"/>
      <c r="BK330" s="5"/>
      <c r="BL330" s="5"/>
    </row>
    <row r="331" spans="1:64" ht="20.85" customHeight="1">
      <c r="A331" s="322" t="s">
        <v>329</v>
      </c>
      <c r="B331" s="323"/>
      <c r="C331" s="323"/>
      <c r="D331" s="324"/>
      <c r="E331" s="237" t="s">
        <v>330</v>
      </c>
      <c r="F331" s="268">
        <f ca="1">IFERROR(F327/D329,"-")</f>
        <v>236.79733031605372</v>
      </c>
      <c r="G331" s="4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  <c r="AD331" s="5"/>
      <c r="AE331" s="5"/>
      <c r="AF331" s="5"/>
      <c r="AG331" s="5"/>
      <c r="AH331" s="5"/>
      <c r="AI331" s="5"/>
      <c r="AJ331" s="5"/>
      <c r="AK331" s="5"/>
      <c r="AL331" s="5"/>
      <c r="AM331" s="5"/>
      <c r="AN331" s="5"/>
      <c r="AO331" s="5"/>
      <c r="AP331" s="5"/>
      <c r="AQ331" s="5"/>
      <c r="AR331" s="5"/>
      <c r="AS331" s="5"/>
      <c r="AT331" s="5"/>
      <c r="AU331" s="5"/>
      <c r="AV331" s="5"/>
      <c r="AW331" s="5"/>
      <c r="AX331" s="5"/>
      <c r="AY331" s="5"/>
      <c r="AZ331" s="5"/>
      <c r="BA331" s="5"/>
      <c r="BB331" s="5"/>
      <c r="BC331" s="5"/>
      <c r="BD331" s="5"/>
      <c r="BE331" s="5"/>
      <c r="BF331" s="5"/>
      <c r="BG331" s="5"/>
      <c r="BH331" s="5"/>
      <c r="BI331" s="5"/>
      <c r="BJ331" s="5"/>
      <c r="BK331" s="5"/>
      <c r="BL331" s="5"/>
    </row>
    <row r="338" spans="6:6" ht="15.75">
      <c r="F338" s="271"/>
    </row>
    <row r="361" spans="4:7" ht="9" customHeight="1">
      <c r="D361" s="3"/>
      <c r="E361" s="3"/>
      <c r="F361" s="3"/>
      <c r="G361" s="3"/>
    </row>
  </sheetData>
  <mergeCells count="9">
    <mergeCell ref="A329:C329"/>
    <mergeCell ref="A331:D331"/>
    <mergeCell ref="A41:D41"/>
    <mergeCell ref="A1:F1"/>
    <mergeCell ref="A2:F2"/>
    <mergeCell ref="A3:F3"/>
    <mergeCell ref="A12:C12"/>
    <mergeCell ref="A34:E34"/>
    <mergeCell ref="A35:D35"/>
  </mergeCells>
  <hyperlinks>
    <hyperlink ref="A159" location="AbaDeprec" display="3.1.1. Depreciação" xr:uid="{00000000-0004-0000-0000-000000000000}"/>
    <hyperlink ref="A177" location="AbaRemun" display="3.1.2. Remuneração do Capital" xr:uid="{00000000-0004-0000-0000-000001000000}"/>
  </hyperlinks>
  <pageMargins left="0.90551181102362199" right="0.511811023622047" top="1.1417322834645671" bottom="1.0236220472440953" header="0.74803149606299213" footer="0.31496062992126012"/>
  <pageSetup paperSize="9" fitToHeight="0" orientation="portrait" r:id="rId1"/>
  <headerFooter alignWithMargins="0">
    <oddFooter>&amp;R&amp;"Arial3,Regular"&amp;P de &amp;N</oddFooter>
  </headerFooter>
  <rowBreaks count="4" manualBreakCount="4">
    <brk id="63" max="5" man="1"/>
    <brk id="140" max="5" man="1"/>
    <brk id="194" max="5" man="1"/>
    <brk id="304" max="5" man="1"/>
  </rowBreaks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8FA6BC-B915-480C-A2F9-6D670EB6394C}">
  <dimension ref="A1:G24"/>
  <sheetViews>
    <sheetView topLeftCell="A4" workbookViewId="0">
      <selection activeCell="D41" sqref="D41"/>
    </sheetView>
  </sheetViews>
  <sheetFormatPr defaultColWidth="9.140625" defaultRowHeight="12.75"/>
  <cols>
    <col min="1" max="1" width="58.28515625" style="280" customWidth="1"/>
    <col min="2" max="2" width="11.140625" style="280" bestFit="1" customWidth="1"/>
    <col min="3" max="3" width="11.28515625" style="280" bestFit="1" customWidth="1"/>
    <col min="4" max="16384" width="9.140625" style="280"/>
  </cols>
  <sheetData>
    <row r="1" spans="1:7">
      <c r="A1" s="279" t="s">
        <v>365</v>
      </c>
    </row>
    <row r="2" spans="1:7">
      <c r="A2" s="281" t="s">
        <v>366</v>
      </c>
    </row>
    <row r="3" spans="1:7">
      <c r="A3" s="281" t="s">
        <v>367</v>
      </c>
    </row>
    <row r="4" spans="1:7">
      <c r="A4" s="282" t="s">
        <v>368</v>
      </c>
    </row>
    <row r="5" spans="1:7">
      <c r="A5" s="282"/>
    </row>
    <row r="6" spans="1:7" s="5" customFormat="1" ht="15.75">
      <c r="A6" s="283" t="s">
        <v>369</v>
      </c>
      <c r="B6" s="122"/>
      <c r="C6" s="122"/>
      <c r="D6" s="122"/>
      <c r="E6" s="122"/>
      <c r="F6" s="122"/>
      <c r="G6" s="284"/>
    </row>
    <row r="7" spans="1:7" s="5" customFormat="1" ht="15.75">
      <c r="A7" s="283" t="s">
        <v>370</v>
      </c>
      <c r="B7" s="122"/>
      <c r="C7" s="122"/>
      <c r="D7" s="284"/>
      <c r="E7" s="284"/>
      <c r="F7" s="284"/>
      <c r="G7" s="284"/>
    </row>
    <row r="8" spans="1:7" ht="13.5" thickBot="1"/>
    <row r="9" spans="1:7" ht="18">
      <c r="A9" s="340" t="s">
        <v>371</v>
      </c>
      <c r="B9" s="341"/>
      <c r="C9" s="342"/>
    </row>
    <row r="10" spans="1:7" ht="18">
      <c r="A10" s="285"/>
      <c r="B10" s="286"/>
      <c r="C10" s="287"/>
    </row>
    <row r="11" spans="1:7" s="291" customFormat="1" ht="15">
      <c r="A11" s="288" t="s">
        <v>372</v>
      </c>
      <c r="B11" s="289" t="s">
        <v>373</v>
      </c>
      <c r="C11" s="290" t="s">
        <v>167</v>
      </c>
    </row>
    <row r="12" spans="1:7" ht="14.25">
      <c r="A12" s="292" t="s">
        <v>374</v>
      </c>
      <c r="B12" s="293" t="s">
        <v>375</v>
      </c>
      <c r="C12" s="294">
        <v>56430</v>
      </c>
    </row>
    <row r="13" spans="1:7" ht="14.25">
      <c r="A13" s="292" t="s">
        <v>376</v>
      </c>
      <c r="B13" s="293" t="s">
        <v>377</v>
      </c>
      <c r="C13" s="295">
        <f>0.0362741*C12^0.2336249</f>
        <v>0.46737739782699467</v>
      </c>
    </row>
    <row r="14" spans="1:7" ht="14.25">
      <c r="A14" s="292" t="s">
        <v>378</v>
      </c>
      <c r="B14" s="293" t="s">
        <v>379</v>
      </c>
      <c r="C14" s="296">
        <f>C12*C13/1000</f>
        <v>26.37410655937731</v>
      </c>
    </row>
    <row r="15" spans="1:7" ht="14.25">
      <c r="A15" s="292" t="s">
        <v>380</v>
      </c>
      <c r="B15" s="293" t="s">
        <v>381</v>
      </c>
      <c r="C15" s="297">
        <f>(C14*30)</f>
        <v>791.2231967813193</v>
      </c>
    </row>
    <row r="16" spans="1:7" ht="14.25">
      <c r="A16" s="292" t="s">
        <v>382</v>
      </c>
      <c r="B16" s="293" t="s">
        <v>54</v>
      </c>
      <c r="C16" s="298">
        <v>6</v>
      </c>
    </row>
    <row r="17" spans="1:3" ht="14.25">
      <c r="A17" s="292" t="s">
        <v>383</v>
      </c>
      <c r="B17" s="293" t="s">
        <v>379</v>
      </c>
      <c r="C17" s="296">
        <f>IFERROR(C14*7/C16,0)</f>
        <v>30.769790985940194</v>
      </c>
    </row>
    <row r="18" spans="1:3" ht="14.25">
      <c r="A18" s="292" t="s">
        <v>384</v>
      </c>
      <c r="B18" s="293" t="s">
        <v>385</v>
      </c>
      <c r="C18" s="299">
        <v>500</v>
      </c>
    </row>
    <row r="19" spans="1:3" ht="14.25">
      <c r="A19" s="292" t="s">
        <v>386</v>
      </c>
      <c r="B19" s="293"/>
      <c r="C19" s="294">
        <v>1</v>
      </c>
    </row>
    <row r="20" spans="1:3" ht="14.25">
      <c r="A20" s="292" t="s">
        <v>387</v>
      </c>
      <c r="B20" s="293" t="s">
        <v>388</v>
      </c>
      <c r="C20" s="294">
        <v>15</v>
      </c>
    </row>
    <row r="21" spans="1:3" ht="14.25">
      <c r="A21" s="292" t="s">
        <v>389</v>
      </c>
      <c r="B21" s="293" t="s">
        <v>381</v>
      </c>
      <c r="C21" s="299">
        <f>IF(AND(C20&gt;=15,C19=1),5.8,C20/2)</f>
        <v>5.8</v>
      </c>
    </row>
    <row r="22" spans="1:3" ht="14.25">
      <c r="A22" s="292" t="s">
        <v>390</v>
      </c>
      <c r="B22" s="293"/>
      <c r="C22" s="296">
        <f>IFERROR(C17/C21,0)</f>
        <v>5.3051363768862405</v>
      </c>
    </row>
    <row r="23" spans="1:3" ht="14.25">
      <c r="A23" s="292" t="s">
        <v>391</v>
      </c>
      <c r="B23" s="293"/>
      <c r="C23" s="300">
        <v>4</v>
      </c>
    </row>
    <row r="24" spans="1:3" ht="15" thickBot="1">
      <c r="A24" s="301" t="s">
        <v>392</v>
      </c>
      <c r="B24" s="302"/>
      <c r="C24" s="303">
        <f>IFERROR(C22/C23,0)</f>
        <v>1.3262840942215601</v>
      </c>
    </row>
  </sheetData>
  <mergeCells count="1">
    <mergeCell ref="A9:C9"/>
  </mergeCells>
  <conditionalFormatting sqref="C21">
    <cfRule type="expression" dxfId="2" priority="1">
      <formula>"SE(E(C20&gt;=15;C19=1))"</formula>
    </cfRule>
  </conditionalFormatting>
  <pageMargins left="0.511811024" right="0.511811024" top="0.78740157499999996" bottom="0.78740157499999996" header="0.31496062000000002" footer="0.31496062000000002"/>
  <legacy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B39C10-059F-49AA-8333-5597BE13D7DF}">
  <dimension ref="A1:L37"/>
  <sheetViews>
    <sheetView workbookViewId="0">
      <selection activeCell="D41" sqref="D41"/>
    </sheetView>
  </sheetViews>
  <sheetFormatPr defaultColWidth="9.140625" defaultRowHeight="12.75"/>
  <cols>
    <col min="1" max="1" width="65.140625" style="280" customWidth="1"/>
    <col min="2" max="2" width="13.7109375" style="280" customWidth="1"/>
    <col min="3" max="3" width="11.7109375" style="280" customWidth="1"/>
    <col min="4" max="16384" width="9.140625" style="280"/>
  </cols>
  <sheetData>
    <row r="1" spans="1:12">
      <c r="A1" s="279" t="s">
        <v>365</v>
      </c>
    </row>
    <row r="2" spans="1:12">
      <c r="A2" s="281" t="s">
        <v>366</v>
      </c>
      <c r="C2" s="280">
        <f ca="1">('1_1_Coleta_BX_TEMP'!E31)+3.135</f>
        <v>333529.46210518881</v>
      </c>
    </row>
    <row r="3" spans="1:12">
      <c r="A3" s="281" t="s">
        <v>367</v>
      </c>
    </row>
    <row r="4" spans="1:12">
      <c r="A4" s="282" t="s">
        <v>368</v>
      </c>
      <c r="C4" s="280">
        <f>('1_1_Coleta_ALT_TEMP'!E38)+3.391</f>
        <v>1015535.2301134294</v>
      </c>
    </row>
    <row r="5" spans="1:12">
      <c r="A5" s="282"/>
    </row>
    <row r="6" spans="1:12" s="5" customFormat="1" ht="15.75">
      <c r="A6" s="283"/>
      <c r="B6" s="122"/>
      <c r="C6" s="122">
        <f>('1_1_Coleta_SELETIVA'!E29)-0.007</f>
        <v>83585.159029516755</v>
      </c>
      <c r="D6" s="122"/>
      <c r="E6" s="122"/>
      <c r="F6" s="122"/>
      <c r="G6" s="284"/>
    </row>
    <row r="7" spans="1:12" s="5" customFormat="1" ht="15.75">
      <c r="A7" s="316"/>
      <c r="B7" s="122"/>
      <c r="C7" s="122"/>
      <c r="D7" s="284"/>
      <c r="E7" s="284"/>
      <c r="F7" s="284"/>
      <c r="G7" s="284"/>
    </row>
    <row r="8" spans="1:12" ht="13.5" thickBot="1"/>
    <row r="9" spans="1:12" ht="18">
      <c r="A9" s="340" t="s">
        <v>397</v>
      </c>
      <c r="B9" s="341"/>
      <c r="C9" s="342"/>
    </row>
    <row r="10" spans="1:12" ht="18">
      <c r="A10" s="285"/>
      <c r="B10" s="286"/>
      <c r="C10" s="287"/>
    </row>
    <row r="11" spans="1:12" s="291" customFormat="1" ht="15">
      <c r="A11" s="288" t="s">
        <v>372</v>
      </c>
      <c r="B11" s="289" t="s">
        <v>373</v>
      </c>
      <c r="C11" s="290" t="s">
        <v>167</v>
      </c>
    </row>
    <row r="12" spans="1:12" ht="14.25">
      <c r="A12" s="292" t="s">
        <v>374</v>
      </c>
      <c r="B12" s="293" t="s">
        <v>375</v>
      </c>
      <c r="C12" s="294">
        <v>0</v>
      </c>
    </row>
    <row r="13" spans="1:12" ht="14.25">
      <c r="A13" s="292" t="s">
        <v>376</v>
      </c>
      <c r="B13" s="293" t="s">
        <v>377</v>
      </c>
      <c r="C13" s="295">
        <f>0.0362741*C12^0.2336249</f>
        <v>0</v>
      </c>
    </row>
    <row r="14" spans="1:12" ht="14.25">
      <c r="A14" s="292" t="s">
        <v>378</v>
      </c>
      <c r="B14" s="293" t="s">
        <v>379</v>
      </c>
      <c r="C14" s="296">
        <v>46.95</v>
      </c>
      <c r="J14" s="280">
        <v>1408.49</v>
      </c>
      <c r="K14" s="280">
        <v>30</v>
      </c>
      <c r="L14" s="280">
        <f>J14/K14</f>
        <v>46.949666666666666</v>
      </c>
    </row>
    <row r="15" spans="1:12" ht="14.25">
      <c r="A15" s="292" t="s">
        <v>380</v>
      </c>
      <c r="B15" s="293" t="s">
        <v>381</v>
      </c>
      <c r="C15" s="297">
        <v>1410</v>
      </c>
    </row>
    <row r="16" spans="1:12" ht="14.25">
      <c r="A16" s="292" t="s">
        <v>382</v>
      </c>
      <c r="B16" s="293" t="s">
        <v>54</v>
      </c>
      <c r="C16" s="298">
        <v>6</v>
      </c>
      <c r="J16" s="280">
        <v>2529.4</v>
      </c>
      <c r="K16" s="280">
        <v>30</v>
      </c>
      <c r="L16" s="280">
        <f>J16/K16</f>
        <v>84.313333333333333</v>
      </c>
    </row>
    <row r="17" spans="1:3" ht="14.25">
      <c r="A17" s="292" t="s">
        <v>383</v>
      </c>
      <c r="B17" s="293" t="s">
        <v>379</v>
      </c>
      <c r="C17" s="296">
        <f>IFERROR(C14*7/C16,0)</f>
        <v>54.775000000000006</v>
      </c>
    </row>
    <row r="18" spans="1:3" ht="14.25">
      <c r="A18" s="292" t="s">
        <v>384</v>
      </c>
      <c r="B18" s="293" t="s">
        <v>385</v>
      </c>
      <c r="C18" s="299">
        <v>500</v>
      </c>
    </row>
    <row r="19" spans="1:3" ht="14.25">
      <c r="A19" s="292" t="s">
        <v>386</v>
      </c>
      <c r="B19" s="293"/>
      <c r="C19" s="294">
        <v>1</v>
      </c>
    </row>
    <row r="20" spans="1:3" ht="14.25">
      <c r="A20" s="292" t="s">
        <v>387</v>
      </c>
      <c r="B20" s="293" t="s">
        <v>388</v>
      </c>
      <c r="C20" s="294">
        <v>12</v>
      </c>
    </row>
    <row r="21" spans="1:3" ht="14.25">
      <c r="A21" s="292" t="s">
        <v>389</v>
      </c>
      <c r="B21" s="293" t="s">
        <v>381</v>
      </c>
      <c r="C21" s="299">
        <v>6</v>
      </c>
    </row>
    <row r="22" spans="1:3" ht="14.25">
      <c r="A22" s="292" t="s">
        <v>390</v>
      </c>
      <c r="B22" s="293"/>
      <c r="C22" s="296">
        <f>IFERROR(C17/C21,0)</f>
        <v>9.1291666666666682</v>
      </c>
    </row>
    <row r="23" spans="1:3" ht="14.25">
      <c r="A23" s="292" t="s">
        <v>391</v>
      </c>
      <c r="B23" s="293"/>
      <c r="C23" s="300">
        <v>2</v>
      </c>
    </row>
    <row r="24" spans="1:3" ht="15" thickBot="1">
      <c r="A24" s="301" t="s">
        <v>392</v>
      </c>
      <c r="B24" s="302"/>
      <c r="C24" s="303">
        <f>IFERROR(C22/C23,0)</f>
        <v>4.5645833333333341</v>
      </c>
    </row>
    <row r="37" spans="4:5">
      <c r="D37" s="280">
        <f>SUM(D35:D36,D9,D11,D13,D15,D17,D19,D21,D23,D25,D27,D29,D31,D33)+0.01</f>
        <v>0.01</v>
      </c>
      <c r="E37" s="280">
        <f>SUM(E9,E11,E13,E15,E17,E19,E21,E23,E25,E27,E29,E31,E33,E35)+0.01</f>
        <v>0.01</v>
      </c>
    </row>
  </sheetData>
  <mergeCells count="1">
    <mergeCell ref="A9:C9"/>
  </mergeCells>
  <conditionalFormatting sqref="C21">
    <cfRule type="expression" dxfId="1" priority="1">
      <formula>"SE(E(C20&gt;=15;C19=1))"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247032-0694-430B-BCCD-C4150CB1DB92}">
  <dimension ref="A1:L37"/>
  <sheetViews>
    <sheetView workbookViewId="0">
      <selection activeCell="D41" sqref="D41"/>
    </sheetView>
  </sheetViews>
  <sheetFormatPr defaultColWidth="9.140625" defaultRowHeight="12.75"/>
  <cols>
    <col min="1" max="1" width="63.85546875" style="280" customWidth="1"/>
    <col min="2" max="2" width="12.5703125" style="280" customWidth="1"/>
    <col min="3" max="3" width="14.85546875" style="280" customWidth="1"/>
    <col min="4" max="16384" width="9.140625" style="280"/>
  </cols>
  <sheetData>
    <row r="1" spans="1:12">
      <c r="A1" s="279" t="s">
        <v>365</v>
      </c>
    </row>
    <row r="2" spans="1:12">
      <c r="A2" s="281" t="s">
        <v>366</v>
      </c>
      <c r="C2" s="280">
        <f ca="1">('1_1_Coleta_BX_TEMP'!E31)+3.135</f>
        <v>333529.46210518881</v>
      </c>
    </row>
    <row r="3" spans="1:12">
      <c r="A3" s="281" t="s">
        <v>367</v>
      </c>
    </row>
    <row r="4" spans="1:12">
      <c r="A4" s="282" t="s">
        <v>368</v>
      </c>
      <c r="C4" s="280">
        <f>('1_1_Coleta_ALT_TEMP'!E38)+3.391</f>
        <v>1015535.2301134294</v>
      </c>
    </row>
    <row r="5" spans="1:12">
      <c r="A5" s="282"/>
    </row>
    <row r="6" spans="1:12" s="5" customFormat="1" ht="15.75">
      <c r="A6" s="283"/>
      <c r="B6" s="122"/>
      <c r="C6" s="122">
        <f>('1_1_Coleta_SELETIVA'!E29)-0.007</f>
        <v>83585.159029516755</v>
      </c>
      <c r="D6" s="122"/>
      <c r="E6" s="122"/>
      <c r="F6" s="122"/>
      <c r="G6" s="284"/>
    </row>
    <row r="7" spans="1:12" s="5" customFormat="1" ht="15.75">
      <c r="A7" s="316"/>
      <c r="B7" s="122"/>
      <c r="C7" s="122"/>
      <c r="D7" s="284"/>
      <c r="E7" s="284"/>
      <c r="F7" s="284"/>
      <c r="G7" s="284"/>
    </row>
    <row r="8" spans="1:12" ht="13.5" thickBot="1"/>
    <row r="9" spans="1:12" ht="18">
      <c r="A9" s="340" t="s">
        <v>398</v>
      </c>
      <c r="B9" s="341"/>
      <c r="C9" s="342"/>
    </row>
    <row r="10" spans="1:12" ht="18">
      <c r="A10" s="285"/>
      <c r="B10" s="286"/>
      <c r="C10" s="287"/>
      <c r="J10" s="280">
        <v>2529.4</v>
      </c>
      <c r="K10" s="280">
        <v>30</v>
      </c>
      <c r="L10" s="280">
        <f>J10/K10</f>
        <v>84.313333333333333</v>
      </c>
    </row>
    <row r="11" spans="1:12" s="291" customFormat="1" ht="15">
      <c r="A11" s="288" t="s">
        <v>372</v>
      </c>
      <c r="B11" s="289" t="s">
        <v>373</v>
      </c>
      <c r="C11" s="290" t="s">
        <v>167</v>
      </c>
    </row>
    <row r="12" spans="1:12" ht="14.25">
      <c r="A12" s="292" t="s">
        <v>374</v>
      </c>
      <c r="B12" s="293" t="s">
        <v>375</v>
      </c>
      <c r="C12" s="294">
        <v>0</v>
      </c>
    </row>
    <row r="13" spans="1:12" ht="14.25">
      <c r="A13" s="292" t="s">
        <v>376</v>
      </c>
      <c r="B13" s="293" t="s">
        <v>377</v>
      </c>
      <c r="C13" s="295">
        <f>0.0362741*C12^0.2336249</f>
        <v>0</v>
      </c>
    </row>
    <row r="14" spans="1:12" ht="14.25">
      <c r="A14" s="292" t="s">
        <v>378</v>
      </c>
      <c r="B14" s="293" t="s">
        <v>379</v>
      </c>
      <c r="C14" s="296">
        <v>84.313299999999998</v>
      </c>
    </row>
    <row r="15" spans="1:12" ht="14.25">
      <c r="A15" s="292" t="s">
        <v>380</v>
      </c>
      <c r="B15" s="293" t="s">
        <v>381</v>
      </c>
      <c r="C15" s="297">
        <v>2530</v>
      </c>
    </row>
    <row r="16" spans="1:12" ht="14.25">
      <c r="A16" s="292" t="s">
        <v>382</v>
      </c>
      <c r="B16" s="293" t="s">
        <v>54</v>
      </c>
      <c r="C16" s="298">
        <v>6</v>
      </c>
    </row>
    <row r="17" spans="1:3" ht="14.25">
      <c r="A17" s="292" t="s">
        <v>383</v>
      </c>
      <c r="B17" s="293" t="s">
        <v>379</v>
      </c>
      <c r="C17" s="296">
        <f>IFERROR(C14*7/C16,0)</f>
        <v>98.365516666666664</v>
      </c>
    </row>
    <row r="18" spans="1:3" ht="14.25">
      <c r="A18" s="292" t="s">
        <v>384</v>
      </c>
      <c r="B18" s="293" t="s">
        <v>385</v>
      </c>
      <c r="C18" s="299">
        <v>500</v>
      </c>
    </row>
    <row r="19" spans="1:3" ht="14.25">
      <c r="A19" s="292" t="s">
        <v>386</v>
      </c>
      <c r="B19" s="293"/>
      <c r="C19" s="294">
        <v>1</v>
      </c>
    </row>
    <row r="20" spans="1:3" ht="14.25">
      <c r="A20" s="292" t="s">
        <v>387</v>
      </c>
      <c r="B20" s="293" t="s">
        <v>388</v>
      </c>
      <c r="C20" s="294">
        <v>12</v>
      </c>
    </row>
    <row r="21" spans="1:3" ht="14.25">
      <c r="A21" s="292" t="s">
        <v>389</v>
      </c>
      <c r="B21" s="293" t="s">
        <v>381</v>
      </c>
      <c r="C21" s="299">
        <f>IF(AND(C20&gt;=15,C19=1),5.8,C20/2)</f>
        <v>6</v>
      </c>
    </row>
    <row r="22" spans="1:3" ht="14.25">
      <c r="A22" s="292" t="s">
        <v>390</v>
      </c>
      <c r="B22" s="293"/>
      <c r="C22" s="296">
        <f>IFERROR(C17/C21,0)</f>
        <v>16.394252777777776</v>
      </c>
    </row>
    <row r="23" spans="1:3" ht="14.25">
      <c r="A23" s="292" t="s">
        <v>391</v>
      </c>
      <c r="B23" s="293"/>
      <c r="C23" s="300">
        <v>3</v>
      </c>
    </row>
    <row r="24" spans="1:3" ht="15" thickBot="1">
      <c r="A24" s="301" t="s">
        <v>392</v>
      </c>
      <c r="B24" s="302"/>
      <c r="C24" s="303">
        <f>IFERROR(C22/C23,0)</f>
        <v>5.4647509259259257</v>
      </c>
    </row>
    <row r="37" spans="4:5">
      <c r="D37" s="280">
        <f>SUM(D35:D36,D9,D11,D13,D15,D17,D19,D21,D23,D25,D27,D29,D31,D33)+0.01</f>
        <v>0.01</v>
      </c>
      <c r="E37" s="280">
        <f>SUM(E9,E11,E13,E15,E17,E19,E21,E23,E25,E27,E29,E31,E33,E35)+0.01</f>
        <v>0.01</v>
      </c>
    </row>
  </sheetData>
  <mergeCells count="1">
    <mergeCell ref="A9:C9"/>
  </mergeCells>
  <conditionalFormatting sqref="C21">
    <cfRule type="expression" dxfId="0" priority="1">
      <formula>"SE(E(C20&gt;=15;C19=1))"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A95DB7-CBFF-4B5A-96FC-37431EC77854}">
  <sheetPr>
    <pageSetUpPr fitToPage="1"/>
  </sheetPr>
  <dimension ref="B2:AL37"/>
  <sheetViews>
    <sheetView workbookViewId="0">
      <selection activeCell="D41" sqref="D41"/>
    </sheetView>
  </sheetViews>
  <sheetFormatPr defaultRowHeight="12.75"/>
  <cols>
    <col min="2" max="2" width="15.5703125" customWidth="1"/>
    <col min="3" max="3" width="10.85546875" bestFit="1" customWidth="1"/>
    <col min="4" max="4" width="12.42578125" bestFit="1" customWidth="1"/>
    <col min="5" max="5" width="13.5703125" bestFit="1" customWidth="1"/>
    <col min="6" max="6" width="3.5703125" customWidth="1"/>
    <col min="7" max="7" width="12.140625" bestFit="1" customWidth="1"/>
    <col min="8" max="8" width="2.85546875" customWidth="1"/>
    <col min="9" max="10" width="12.140625" hidden="1" customWidth="1"/>
    <col min="11" max="11" width="13.5703125" hidden="1" customWidth="1"/>
    <col min="12" max="12" width="16.140625" hidden="1" customWidth="1"/>
    <col min="13" max="13" width="14.7109375" hidden="1" customWidth="1"/>
    <col min="14" max="14" width="17" hidden="1" customWidth="1"/>
    <col min="15" max="16" width="0" hidden="1" customWidth="1"/>
    <col min="17" max="17" width="2.85546875" hidden="1" customWidth="1"/>
    <col min="18" max="18" width="0" hidden="1" customWidth="1"/>
    <col min="19" max="19" width="2.42578125" hidden="1" customWidth="1"/>
    <col min="20" max="20" width="0" hidden="1" customWidth="1"/>
    <col min="21" max="21" width="3.42578125" hidden="1" customWidth="1"/>
    <col min="22" max="22" width="0" hidden="1" customWidth="1"/>
    <col min="23" max="23" width="3" hidden="1" customWidth="1"/>
    <col min="24" max="24" width="0" hidden="1" customWidth="1"/>
    <col min="25" max="25" width="2.42578125" hidden="1" customWidth="1"/>
    <col min="26" max="26" width="0" hidden="1" customWidth="1"/>
    <col min="27" max="27" width="2.42578125" hidden="1" customWidth="1"/>
    <col min="28" max="28" width="0" hidden="1" customWidth="1"/>
    <col min="29" max="29" width="2.7109375" hidden="1" customWidth="1"/>
    <col min="30" max="30" width="0" hidden="1" customWidth="1"/>
    <col min="31" max="31" width="3.140625" hidden="1" customWidth="1"/>
    <col min="32" max="32" width="0" hidden="1" customWidth="1"/>
    <col min="33" max="33" width="1.85546875" hidden="1" customWidth="1"/>
    <col min="34" max="34" width="0" hidden="1" customWidth="1"/>
    <col min="35" max="35" width="2.85546875" hidden="1" customWidth="1"/>
    <col min="36" max="39" width="0" hidden="1" customWidth="1"/>
  </cols>
  <sheetData>
    <row r="2" spans="2:38">
      <c r="B2" s="247"/>
      <c r="C2" s="247">
        <f ca="1">('1_1_Coleta_BX_TEMP'!E31)+3.135</f>
        <v>333529.46210518881</v>
      </c>
      <c r="D2" s="247"/>
      <c r="E2" s="312">
        <v>2025</v>
      </c>
      <c r="F2" s="247"/>
      <c r="G2" s="247"/>
    </row>
    <row r="3" spans="2:38">
      <c r="B3" s="247"/>
      <c r="C3" s="247"/>
      <c r="D3" s="247"/>
      <c r="E3" s="247"/>
      <c r="F3" s="247"/>
      <c r="G3" s="247"/>
    </row>
    <row r="4" spans="2:38" ht="15.75">
      <c r="B4" s="246"/>
      <c r="C4" s="248">
        <f>('1_1_Coleta_ALT_TEMP'!E38)+3.391</f>
        <v>1015535.2301134294</v>
      </c>
      <c r="D4" s="248" t="s">
        <v>320</v>
      </c>
      <c r="E4" s="248" t="s">
        <v>321</v>
      </c>
      <c r="F4" s="248"/>
      <c r="G4" s="248" t="s">
        <v>302</v>
      </c>
      <c r="H4" s="223"/>
      <c r="I4" s="223"/>
      <c r="J4" s="223"/>
      <c r="K4" s="223"/>
    </row>
    <row r="5" spans="2:38" ht="15.75">
      <c r="B5" s="246" t="s">
        <v>308</v>
      </c>
      <c r="C5" s="246">
        <v>2870.96</v>
      </c>
      <c r="D5" s="246">
        <f>C5</f>
        <v>2870.96</v>
      </c>
      <c r="E5" s="246">
        <f>C5-D5</f>
        <v>0</v>
      </c>
      <c r="F5" s="246"/>
      <c r="G5" s="246">
        <v>89.44</v>
      </c>
      <c r="H5" s="223"/>
      <c r="I5" s="223">
        <v>986.05</v>
      </c>
      <c r="J5" s="223">
        <f>G5*I5</f>
        <v>88192.311999999991</v>
      </c>
      <c r="K5" s="223">
        <v>311.3</v>
      </c>
      <c r="L5" s="224">
        <f>D5*K5</f>
        <v>893729.848</v>
      </c>
      <c r="M5" s="223"/>
      <c r="N5" s="259">
        <f>L5</f>
        <v>893729.848</v>
      </c>
      <c r="O5" s="223"/>
      <c r="P5" s="343" t="s">
        <v>322</v>
      </c>
      <c r="Q5" s="343"/>
      <c r="R5" s="343"/>
      <c r="S5" s="343"/>
      <c r="T5" s="343"/>
      <c r="U5" s="343"/>
      <c r="V5" s="343"/>
      <c r="X5" s="343" t="s">
        <v>322</v>
      </c>
      <c r="Y5" s="343"/>
      <c r="Z5" s="343"/>
      <c r="AA5" s="343"/>
      <c r="AB5" s="343"/>
      <c r="AC5" s="343"/>
      <c r="AD5" s="343"/>
    </row>
    <row r="6" spans="2:38" ht="15.75">
      <c r="B6" s="246" t="s">
        <v>309</v>
      </c>
      <c r="C6" s="246">
        <f>('1_1_Coleta_SELETIVA'!E29)-0.007</f>
        <v>83585.159029516755</v>
      </c>
      <c r="D6" s="246">
        <f>C6</f>
        <v>83585.159029516755</v>
      </c>
      <c r="E6" s="246">
        <v>0</v>
      </c>
      <c r="F6" s="246"/>
      <c r="G6" s="246">
        <v>81.180000000000007</v>
      </c>
      <c r="H6" s="223"/>
      <c r="I6" s="223">
        <v>986.05</v>
      </c>
      <c r="J6" s="223">
        <f t="shared" ref="J6:J16" si="0">G6*I6</f>
        <v>80047.539000000004</v>
      </c>
      <c r="K6" s="223">
        <v>311.3</v>
      </c>
      <c r="L6" s="224">
        <f t="shared" ref="L6:L16" si="1">D6*K6</f>
        <v>26020060.005888566</v>
      </c>
      <c r="M6" s="223"/>
      <c r="N6" s="259">
        <f t="shared" ref="N6:N15" si="2">L6</f>
        <v>26020060.005888566</v>
      </c>
      <c r="O6" s="223"/>
      <c r="P6">
        <v>6.94</v>
      </c>
      <c r="R6">
        <v>13.57</v>
      </c>
      <c r="T6">
        <v>14.07</v>
      </c>
      <c r="V6">
        <v>16.239999999999998</v>
      </c>
      <c r="X6">
        <v>40.549999999999997</v>
      </c>
      <c r="Z6">
        <v>49.77</v>
      </c>
      <c r="AB6">
        <v>0</v>
      </c>
      <c r="AD6">
        <v>0</v>
      </c>
      <c r="AF6">
        <v>0</v>
      </c>
      <c r="AH6">
        <v>0</v>
      </c>
      <c r="AJ6">
        <v>0</v>
      </c>
      <c r="AL6">
        <v>11.75</v>
      </c>
    </row>
    <row r="7" spans="2:38" ht="15.75">
      <c r="B7" s="246" t="s">
        <v>310</v>
      </c>
      <c r="C7" s="309">
        <v>1859.38</v>
      </c>
      <c r="D7" s="246">
        <f>Z33</f>
        <v>1122.4299999999998</v>
      </c>
      <c r="E7" s="246">
        <f>C7-D7</f>
        <v>736.95000000000027</v>
      </c>
      <c r="F7" s="246"/>
      <c r="G7" s="246">
        <v>85.59</v>
      </c>
      <c r="H7" s="223"/>
      <c r="I7" s="223">
        <v>986.05</v>
      </c>
      <c r="J7" s="223">
        <f t="shared" si="0"/>
        <v>84396.019499999995</v>
      </c>
      <c r="K7" s="223">
        <v>311.3</v>
      </c>
      <c r="L7" s="259">
        <f t="shared" si="1"/>
        <v>349412.45899999997</v>
      </c>
      <c r="M7" s="224">
        <f>E7*K8</f>
        <v>175143.53700000007</v>
      </c>
      <c r="N7" s="224">
        <f>L7+M7</f>
        <v>524555.99600000004</v>
      </c>
      <c r="O7" s="223"/>
      <c r="P7">
        <v>16.739999999999998</v>
      </c>
      <c r="R7">
        <v>11.28</v>
      </c>
      <c r="T7">
        <v>20.61</v>
      </c>
      <c r="V7">
        <v>26.9</v>
      </c>
      <c r="X7">
        <v>35.26</v>
      </c>
      <c r="Z7">
        <v>44.46</v>
      </c>
      <c r="AB7">
        <v>0</v>
      </c>
      <c r="AD7">
        <v>0</v>
      </c>
      <c r="AF7">
        <v>0</v>
      </c>
      <c r="AH7">
        <v>0</v>
      </c>
      <c r="AJ7">
        <v>0</v>
      </c>
      <c r="AL7">
        <v>13.79</v>
      </c>
    </row>
    <row r="8" spans="2:38" ht="15.75">
      <c r="B8" s="246" t="s">
        <v>311</v>
      </c>
      <c r="C8" s="246">
        <v>1505.55</v>
      </c>
      <c r="D8" s="246">
        <v>0</v>
      </c>
      <c r="E8" s="246">
        <f t="shared" ref="E8:E15" si="3">C8-D8</f>
        <v>1505.55</v>
      </c>
      <c r="F8" s="246"/>
      <c r="G8" s="309">
        <v>78.709999999999994</v>
      </c>
      <c r="H8" s="262"/>
      <c r="I8" s="262">
        <v>986.05</v>
      </c>
      <c r="J8" s="263" t="s">
        <v>358</v>
      </c>
      <c r="K8" s="223">
        <v>237.66</v>
      </c>
      <c r="L8" s="224">
        <f>C8*K8</f>
        <v>357809.01299999998</v>
      </c>
      <c r="M8" s="223"/>
      <c r="N8" s="259">
        <f t="shared" si="2"/>
        <v>357809.01299999998</v>
      </c>
      <c r="O8" s="223"/>
      <c r="P8">
        <v>9.06</v>
      </c>
      <c r="R8">
        <v>13.95</v>
      </c>
      <c r="T8">
        <v>12.63</v>
      </c>
      <c r="V8">
        <v>25.45</v>
      </c>
      <c r="X8">
        <v>36.71</v>
      </c>
      <c r="Z8">
        <v>19.8</v>
      </c>
      <c r="AB8">
        <v>0</v>
      </c>
      <c r="AD8">
        <v>0</v>
      </c>
      <c r="AF8">
        <v>0</v>
      </c>
      <c r="AH8">
        <v>0</v>
      </c>
      <c r="AJ8">
        <v>0</v>
      </c>
      <c r="AL8">
        <v>22.01</v>
      </c>
    </row>
    <row r="9" spans="2:38" ht="15.75">
      <c r="B9" s="246" t="s">
        <v>312</v>
      </c>
      <c r="C9" s="310">
        <v>1373.02</v>
      </c>
      <c r="D9" s="310">
        <v>0</v>
      </c>
      <c r="E9" s="246">
        <f t="shared" si="3"/>
        <v>1373.02</v>
      </c>
      <c r="F9" s="246"/>
      <c r="G9" s="246">
        <v>68.64</v>
      </c>
      <c r="H9" s="223"/>
      <c r="I9" s="223">
        <v>986.05</v>
      </c>
      <c r="J9" s="223">
        <f t="shared" si="0"/>
        <v>67682.471999999994</v>
      </c>
      <c r="K9" s="223">
        <v>237.66</v>
      </c>
      <c r="L9" s="224">
        <f t="shared" ref="L9:L15" si="4">C9*K9</f>
        <v>326311.93319999997</v>
      </c>
      <c r="M9" s="223"/>
      <c r="N9" s="259">
        <f t="shared" si="2"/>
        <v>326311.93319999997</v>
      </c>
      <c r="O9" s="223"/>
      <c r="P9">
        <v>7.79</v>
      </c>
      <c r="R9">
        <v>10.1</v>
      </c>
      <c r="T9">
        <v>11.97</v>
      </c>
      <c r="V9">
        <v>16.96</v>
      </c>
      <c r="X9">
        <v>49.94</v>
      </c>
      <c r="Z9">
        <v>44.26</v>
      </c>
      <c r="AB9">
        <v>0</v>
      </c>
      <c r="AD9">
        <v>0</v>
      </c>
      <c r="AF9">
        <v>0</v>
      </c>
      <c r="AH9">
        <v>0</v>
      </c>
      <c r="AJ9">
        <v>0</v>
      </c>
      <c r="AL9">
        <v>17.09</v>
      </c>
    </row>
    <row r="10" spans="2:38" ht="15.75">
      <c r="B10" s="246" t="s">
        <v>313</v>
      </c>
      <c r="C10" s="246">
        <v>1275.33</v>
      </c>
      <c r="D10" s="246">
        <v>0</v>
      </c>
      <c r="E10" s="246">
        <f t="shared" si="3"/>
        <v>1275.33</v>
      </c>
      <c r="F10" s="246"/>
      <c r="G10" s="246">
        <v>72.33</v>
      </c>
      <c r="H10" s="223"/>
      <c r="I10" s="223">
        <v>986.05</v>
      </c>
      <c r="J10" s="228">
        <f t="shared" si="0"/>
        <v>71320.996499999994</v>
      </c>
      <c r="K10" s="223">
        <v>237.66</v>
      </c>
      <c r="L10" s="224">
        <f t="shared" si="4"/>
        <v>303094.9278</v>
      </c>
      <c r="M10" s="223"/>
      <c r="N10" s="259">
        <f t="shared" si="2"/>
        <v>303094.9278</v>
      </c>
      <c r="O10" s="223"/>
      <c r="P10">
        <v>14.89</v>
      </c>
      <c r="R10">
        <v>6.42</v>
      </c>
      <c r="T10">
        <v>14.77</v>
      </c>
      <c r="V10">
        <v>25.87</v>
      </c>
      <c r="X10">
        <v>24.82</v>
      </c>
      <c r="Z10">
        <v>0</v>
      </c>
      <c r="AB10">
        <v>0</v>
      </c>
      <c r="AD10">
        <v>0</v>
      </c>
      <c r="AF10">
        <v>0</v>
      </c>
      <c r="AH10">
        <v>0</v>
      </c>
      <c r="AJ10">
        <v>0</v>
      </c>
      <c r="AL10">
        <v>24.97</v>
      </c>
    </row>
    <row r="11" spans="2:38" ht="15.75">
      <c r="B11" s="246" t="s">
        <v>314</v>
      </c>
      <c r="C11" s="246">
        <v>1385.37</v>
      </c>
      <c r="D11" s="246">
        <v>0</v>
      </c>
      <c r="E11" s="246">
        <f t="shared" si="3"/>
        <v>1385.37</v>
      </c>
      <c r="F11" s="246"/>
      <c r="G11" s="246">
        <v>87.31</v>
      </c>
      <c r="H11" s="223"/>
      <c r="I11" s="223">
        <v>986.05</v>
      </c>
      <c r="J11" s="223">
        <f t="shared" si="0"/>
        <v>86092.025500000003</v>
      </c>
      <c r="K11" s="223">
        <v>237.66</v>
      </c>
      <c r="L11" s="224">
        <f t="shared" si="4"/>
        <v>329247.03419999999</v>
      </c>
      <c r="M11" s="223"/>
      <c r="N11" s="259">
        <f t="shared" si="2"/>
        <v>329247.03419999999</v>
      </c>
      <c r="O11" s="223"/>
      <c r="P11">
        <v>7.36</v>
      </c>
      <c r="R11">
        <v>3.75</v>
      </c>
      <c r="T11">
        <v>10.67</v>
      </c>
      <c r="V11">
        <v>14.64</v>
      </c>
      <c r="X11">
        <v>37.32</v>
      </c>
      <c r="Z11">
        <v>0</v>
      </c>
      <c r="AB11">
        <v>0</v>
      </c>
      <c r="AD11">
        <v>0</v>
      </c>
      <c r="AF11">
        <v>0</v>
      </c>
      <c r="AH11">
        <v>0</v>
      </c>
      <c r="AJ11">
        <v>0</v>
      </c>
      <c r="AL11">
        <v>12.19</v>
      </c>
    </row>
    <row r="12" spans="2:38" ht="15.75">
      <c r="B12" s="246" t="s">
        <v>315</v>
      </c>
      <c r="C12" s="246">
        <v>1307.08</v>
      </c>
      <c r="D12" s="246">
        <v>0</v>
      </c>
      <c r="E12" s="246">
        <f t="shared" si="3"/>
        <v>1307.08</v>
      </c>
      <c r="F12" s="246"/>
      <c r="G12" s="246">
        <v>70.86</v>
      </c>
      <c r="H12" s="223"/>
      <c r="I12" s="223">
        <v>986.05</v>
      </c>
      <c r="J12" s="223">
        <f t="shared" si="0"/>
        <v>69871.502999999997</v>
      </c>
      <c r="K12" s="223">
        <v>237.66</v>
      </c>
      <c r="L12" s="224">
        <f t="shared" si="4"/>
        <v>310640.63279999996</v>
      </c>
      <c r="M12" s="223"/>
      <c r="N12" s="259">
        <f t="shared" si="2"/>
        <v>310640.63279999996</v>
      </c>
      <c r="O12" s="223"/>
      <c r="P12">
        <v>5.92</v>
      </c>
      <c r="R12">
        <v>3.09</v>
      </c>
      <c r="T12">
        <v>14.73</v>
      </c>
      <c r="V12">
        <v>21.51</v>
      </c>
      <c r="X12">
        <v>32.659999999999997</v>
      </c>
      <c r="Z12">
        <v>0</v>
      </c>
      <c r="AB12">
        <v>0</v>
      </c>
      <c r="AD12">
        <v>0</v>
      </c>
      <c r="AF12">
        <v>0</v>
      </c>
      <c r="AH12">
        <v>0</v>
      </c>
      <c r="AJ12">
        <v>0</v>
      </c>
      <c r="AL12">
        <v>22.28</v>
      </c>
    </row>
    <row r="13" spans="2:38" ht="15.75">
      <c r="B13" s="246" t="s">
        <v>316</v>
      </c>
      <c r="C13" s="248">
        <v>1333.3069</v>
      </c>
      <c r="D13" s="246">
        <v>0</v>
      </c>
      <c r="E13" s="246">
        <f t="shared" si="3"/>
        <v>1333.3069</v>
      </c>
      <c r="F13" s="246"/>
      <c r="G13" s="246">
        <v>81.400000000000006</v>
      </c>
      <c r="H13" s="223"/>
      <c r="I13" s="223">
        <v>986.05</v>
      </c>
      <c r="J13" s="223">
        <f t="shared" si="0"/>
        <v>80264.47</v>
      </c>
      <c r="K13" s="223">
        <v>237.66</v>
      </c>
      <c r="L13" s="224">
        <f t="shared" si="4"/>
        <v>316873.71785399999</v>
      </c>
      <c r="M13" s="225">
        <v>316874.45</v>
      </c>
      <c r="N13" s="224">
        <f t="shared" si="2"/>
        <v>316873.71785399999</v>
      </c>
      <c r="O13" s="223"/>
      <c r="P13">
        <v>6.91</v>
      </c>
      <c r="R13">
        <v>4.28</v>
      </c>
      <c r="T13">
        <v>10.88</v>
      </c>
      <c r="V13">
        <v>29.01</v>
      </c>
      <c r="X13">
        <v>36.49</v>
      </c>
      <c r="Z13">
        <v>0</v>
      </c>
      <c r="AB13">
        <v>0</v>
      </c>
      <c r="AD13">
        <v>0</v>
      </c>
      <c r="AF13">
        <v>0</v>
      </c>
      <c r="AH13">
        <v>0</v>
      </c>
      <c r="AJ13">
        <v>0</v>
      </c>
      <c r="AL13">
        <v>11.95</v>
      </c>
    </row>
    <row r="14" spans="2:38" ht="15.75">
      <c r="B14" s="246" t="s">
        <v>317</v>
      </c>
      <c r="C14" s="246">
        <v>1460.48</v>
      </c>
      <c r="D14" s="246">
        <v>0</v>
      </c>
      <c r="E14" s="246">
        <f t="shared" si="3"/>
        <v>1460.48</v>
      </c>
      <c r="F14" s="246"/>
      <c r="G14" s="246">
        <v>106.06</v>
      </c>
      <c r="H14" s="223"/>
      <c r="I14" s="223">
        <v>986.05</v>
      </c>
      <c r="J14" s="224">
        <f t="shared" si="0"/>
        <v>104580.463</v>
      </c>
      <c r="K14" s="223">
        <v>237.66</v>
      </c>
      <c r="L14" s="224">
        <f t="shared" si="4"/>
        <v>347097.67680000002</v>
      </c>
      <c r="M14" s="223"/>
      <c r="N14" s="259">
        <f t="shared" si="2"/>
        <v>347097.67680000002</v>
      </c>
      <c r="O14" s="223"/>
      <c r="P14">
        <v>6.62</v>
      </c>
      <c r="R14">
        <v>9.65</v>
      </c>
      <c r="T14">
        <v>20.32</v>
      </c>
      <c r="V14">
        <v>28.41</v>
      </c>
      <c r="X14">
        <v>37.909999999999997</v>
      </c>
      <c r="Z14">
        <v>0</v>
      </c>
      <c r="AB14">
        <v>0</v>
      </c>
      <c r="AD14">
        <v>0</v>
      </c>
      <c r="AF14">
        <v>0</v>
      </c>
      <c r="AH14">
        <v>0</v>
      </c>
      <c r="AJ14">
        <v>0</v>
      </c>
      <c r="AL14">
        <v>10.98</v>
      </c>
    </row>
    <row r="15" spans="2:38" ht="15.75">
      <c r="B15" s="246" t="s">
        <v>318</v>
      </c>
      <c r="C15" s="246">
        <v>1592.07</v>
      </c>
      <c r="D15" s="246">
        <v>0</v>
      </c>
      <c r="E15" s="246">
        <f t="shared" si="3"/>
        <v>1592.07</v>
      </c>
      <c r="F15" s="246"/>
      <c r="G15" s="246">
        <v>88.34</v>
      </c>
      <c r="H15" s="223"/>
      <c r="I15" s="223">
        <v>986.05</v>
      </c>
      <c r="J15" s="223" t="s">
        <v>232</v>
      </c>
      <c r="K15" s="223">
        <v>237.66</v>
      </c>
      <c r="L15" s="224">
        <f t="shared" si="4"/>
        <v>378371.35619999998</v>
      </c>
      <c r="M15" s="223"/>
      <c r="N15" s="259">
        <f t="shared" si="2"/>
        <v>378371.35619999998</v>
      </c>
      <c r="O15" s="223"/>
      <c r="P15">
        <v>3.56</v>
      </c>
      <c r="R15">
        <v>8.16</v>
      </c>
      <c r="T15">
        <v>24.89</v>
      </c>
      <c r="V15">
        <v>6.56</v>
      </c>
      <c r="X15">
        <v>52.69</v>
      </c>
      <c r="Z15">
        <v>0</v>
      </c>
      <c r="AB15">
        <v>0</v>
      </c>
      <c r="AD15">
        <v>0</v>
      </c>
      <c r="AF15">
        <v>0</v>
      </c>
      <c r="AH15">
        <v>0</v>
      </c>
      <c r="AJ15">
        <v>0</v>
      </c>
      <c r="AL15">
        <v>11.94</v>
      </c>
    </row>
    <row r="16" spans="2:38" ht="15.75">
      <c r="B16" s="246" t="s">
        <v>319</v>
      </c>
      <c r="C16" s="248">
        <v>2190.0100000000002</v>
      </c>
      <c r="D16" s="248">
        <f>T33</f>
        <v>1482.77</v>
      </c>
      <c r="E16" s="246">
        <f>C16-D16</f>
        <v>707.24000000000024</v>
      </c>
      <c r="F16" s="246"/>
      <c r="G16" s="246">
        <v>93.82</v>
      </c>
      <c r="H16" s="223"/>
      <c r="I16" s="223">
        <v>986.05</v>
      </c>
      <c r="J16" s="223">
        <f t="shared" si="0"/>
        <v>92511.210999999996</v>
      </c>
      <c r="K16" s="223">
        <v>311.3</v>
      </c>
      <c r="L16" s="259">
        <f t="shared" si="1"/>
        <v>461586.30100000004</v>
      </c>
      <c r="M16" s="259">
        <f>E16*K15</f>
        <v>168082.65840000004</v>
      </c>
      <c r="N16" s="224">
        <f>L16+M16</f>
        <v>629668.95940000005</v>
      </c>
      <c r="O16" s="223"/>
      <c r="P16">
        <v>2.88</v>
      </c>
      <c r="R16">
        <v>12.67</v>
      </c>
      <c r="T16">
        <v>14.94</v>
      </c>
      <c r="V16">
        <v>21.29</v>
      </c>
      <c r="X16">
        <v>25.69</v>
      </c>
      <c r="Z16">
        <v>0</v>
      </c>
      <c r="AB16">
        <v>0</v>
      </c>
      <c r="AD16">
        <v>0</v>
      </c>
      <c r="AF16">
        <v>0</v>
      </c>
      <c r="AH16">
        <v>0</v>
      </c>
      <c r="AJ16">
        <v>0</v>
      </c>
      <c r="AL16">
        <v>11.92</v>
      </c>
    </row>
    <row r="17" spans="2:38" ht="15.75">
      <c r="B17" s="246"/>
      <c r="C17" s="246"/>
      <c r="D17" s="246"/>
      <c r="E17" s="246"/>
      <c r="F17" s="246"/>
      <c r="G17" s="248">
        <f>SUM(G5:G16)</f>
        <v>1003.6800000000001</v>
      </c>
      <c r="H17" s="225"/>
      <c r="I17" s="225"/>
      <c r="J17" s="259">
        <f>SUM(J5:J16)</f>
        <v>824959.01149999991</v>
      </c>
      <c r="K17" s="225"/>
      <c r="L17" s="223"/>
      <c r="M17" s="223"/>
      <c r="N17" s="223"/>
      <c r="O17" s="223"/>
      <c r="P17">
        <v>6.02</v>
      </c>
      <c r="R17">
        <v>9.99</v>
      </c>
      <c r="T17">
        <v>16.190000000000001</v>
      </c>
      <c r="V17">
        <v>25.09</v>
      </c>
      <c r="X17">
        <v>45.79</v>
      </c>
      <c r="Z17">
        <v>0</v>
      </c>
      <c r="AB17">
        <v>0</v>
      </c>
      <c r="AD17">
        <v>0</v>
      </c>
      <c r="AF17">
        <v>0</v>
      </c>
      <c r="AH17">
        <v>0</v>
      </c>
      <c r="AJ17">
        <v>0</v>
      </c>
      <c r="AL17">
        <v>13.17</v>
      </c>
    </row>
    <row r="18" spans="2:38" ht="15.75">
      <c r="B18" s="246" t="s">
        <v>323</v>
      </c>
      <c r="C18" s="309">
        <f>SUM(C5:C16)</f>
        <v>101737.71592951677</v>
      </c>
      <c r="D18" s="309">
        <f>SUM(D5:D16)</f>
        <v>89061.319029516759</v>
      </c>
      <c r="E18" s="309">
        <f>SUM(E5:E16)</f>
        <v>12676.3969</v>
      </c>
      <c r="F18" s="247"/>
      <c r="G18" s="247"/>
      <c r="M18" s="259">
        <f>(N5+N6+L7+M7+N8+N9+N10+N11+N12+M13+N14+N15+L16+M16)</f>
        <v>30737461.833288569</v>
      </c>
      <c r="N18" s="228">
        <f>SUM(N5:N16)</f>
        <v>30737461.10114257</v>
      </c>
      <c r="O18" s="260"/>
      <c r="P18">
        <v>3.87</v>
      </c>
      <c r="R18">
        <v>12.06</v>
      </c>
      <c r="T18">
        <v>12.53</v>
      </c>
      <c r="V18">
        <v>24.41</v>
      </c>
      <c r="X18">
        <v>39.880000000000003</v>
      </c>
      <c r="Z18">
        <v>0</v>
      </c>
      <c r="AB18">
        <v>0</v>
      </c>
      <c r="AD18">
        <v>0</v>
      </c>
      <c r="AF18">
        <v>0</v>
      </c>
      <c r="AH18">
        <v>0</v>
      </c>
      <c r="AJ18">
        <v>0</v>
      </c>
      <c r="AL18">
        <v>13.97</v>
      </c>
    </row>
    <row r="19" spans="2:38">
      <c r="B19" s="247"/>
      <c r="C19" s="247" t="s">
        <v>326</v>
      </c>
      <c r="D19" s="247"/>
      <c r="E19" s="247"/>
      <c r="F19" s="247"/>
      <c r="G19" s="247"/>
      <c r="O19" s="260"/>
      <c r="P19">
        <v>10.31</v>
      </c>
      <c r="R19">
        <v>4.28</v>
      </c>
      <c r="T19">
        <v>16.93</v>
      </c>
      <c r="V19">
        <v>30.97</v>
      </c>
      <c r="X19">
        <v>37.79</v>
      </c>
      <c r="Z19">
        <v>0</v>
      </c>
      <c r="AB19">
        <v>0</v>
      </c>
      <c r="AD19">
        <v>0</v>
      </c>
      <c r="AF19">
        <v>0</v>
      </c>
      <c r="AH19">
        <v>0</v>
      </c>
      <c r="AJ19">
        <v>0</v>
      </c>
      <c r="AL19">
        <v>11.54</v>
      </c>
    </row>
    <row r="20" spans="2:38" ht="15.75">
      <c r="B20" s="247"/>
      <c r="C20" s="247"/>
      <c r="D20" s="247"/>
      <c r="E20" s="247"/>
      <c r="F20" s="247"/>
      <c r="G20" s="247"/>
      <c r="M20" s="259">
        <f>J17+M18</f>
        <v>31562420.84478857</v>
      </c>
      <c r="N20" s="224">
        <f>N18+K24</f>
        <v>31727139.765142571</v>
      </c>
      <c r="O20" s="260" t="s">
        <v>323</v>
      </c>
      <c r="P20">
        <v>6.85</v>
      </c>
      <c r="R20">
        <v>6.79</v>
      </c>
      <c r="T20">
        <v>20.83</v>
      </c>
      <c r="V20">
        <v>11.57</v>
      </c>
      <c r="X20">
        <v>38.32</v>
      </c>
      <c r="Z20">
        <v>0</v>
      </c>
      <c r="AB20">
        <v>0</v>
      </c>
      <c r="AD20">
        <v>0</v>
      </c>
      <c r="AF20">
        <v>0</v>
      </c>
      <c r="AH20">
        <v>0</v>
      </c>
      <c r="AJ20">
        <v>0</v>
      </c>
      <c r="AL20">
        <v>10.87</v>
      </c>
    </row>
    <row r="21" spans="2:38" ht="15.75">
      <c r="B21" s="246" t="s">
        <v>324</v>
      </c>
      <c r="C21" s="311">
        <f>C18+G17</f>
        <v>102741.39592951676</v>
      </c>
      <c r="D21" s="247" t="s">
        <v>325</v>
      </c>
      <c r="E21" s="247"/>
      <c r="F21" s="247"/>
      <c r="G21" s="247"/>
      <c r="P21">
        <v>7.46</v>
      </c>
      <c r="R21">
        <v>5.63</v>
      </c>
      <c r="T21">
        <v>25.8</v>
      </c>
      <c r="V21">
        <v>28.59</v>
      </c>
      <c r="X21">
        <v>18.760000000000002</v>
      </c>
      <c r="Z21">
        <v>0</v>
      </c>
      <c r="AB21">
        <v>0</v>
      </c>
      <c r="AD21">
        <v>0</v>
      </c>
      <c r="AF21">
        <v>0</v>
      </c>
      <c r="AH21">
        <v>0</v>
      </c>
      <c r="AJ21">
        <v>0</v>
      </c>
      <c r="AL21">
        <v>11.34</v>
      </c>
    </row>
    <row r="22" spans="2:38">
      <c r="B22" s="247"/>
      <c r="C22" s="247"/>
      <c r="D22" s="247"/>
      <c r="E22" s="247"/>
      <c r="F22" s="247"/>
      <c r="G22" s="247"/>
      <c r="N22" s="261">
        <f>N24-N20</f>
        <v>-25362578.841142572</v>
      </c>
      <c r="O22" s="226" t="s">
        <v>357</v>
      </c>
      <c r="P22">
        <v>5.41</v>
      </c>
      <c r="R22">
        <v>8.4</v>
      </c>
      <c r="T22">
        <v>22.59</v>
      </c>
      <c r="V22">
        <v>38.299999999999997</v>
      </c>
      <c r="X22">
        <v>38.520000000000003</v>
      </c>
      <c r="Z22">
        <v>0</v>
      </c>
      <c r="AB22">
        <v>0</v>
      </c>
      <c r="AD22">
        <v>0</v>
      </c>
      <c r="AF22">
        <v>0</v>
      </c>
      <c r="AH22">
        <v>0</v>
      </c>
      <c r="AJ22">
        <v>0</v>
      </c>
      <c r="AL22">
        <v>11.89</v>
      </c>
    </row>
    <row r="23" spans="2:38" ht="15">
      <c r="B23" s="247"/>
      <c r="C23" s="247"/>
      <c r="D23" s="247"/>
      <c r="E23" s="247"/>
      <c r="F23" s="247"/>
      <c r="G23" s="246">
        <v>12</v>
      </c>
      <c r="H23" s="223"/>
      <c r="I23" s="223"/>
      <c r="J23" s="223"/>
      <c r="K23" s="223" t="s">
        <v>302</v>
      </c>
      <c r="P23">
        <v>7.65</v>
      </c>
      <c r="R23">
        <v>10.97</v>
      </c>
      <c r="T23">
        <v>15.61</v>
      </c>
      <c r="V23">
        <v>40.869999999999997</v>
      </c>
      <c r="X23">
        <v>30.13</v>
      </c>
      <c r="Z23">
        <v>0</v>
      </c>
      <c r="AB23">
        <v>0</v>
      </c>
      <c r="AD23">
        <v>0</v>
      </c>
      <c r="AF23">
        <v>0</v>
      </c>
      <c r="AH23">
        <v>0</v>
      </c>
      <c r="AJ23">
        <v>0</v>
      </c>
      <c r="AL23">
        <v>25.29</v>
      </c>
    </row>
    <row r="24" spans="2:38" ht="15.75">
      <c r="B24" s="247" t="s">
        <v>332</v>
      </c>
      <c r="C24" s="247">
        <f>C18/12</f>
        <v>8478.1429941263978</v>
      </c>
      <c r="D24" s="312">
        <f>D18/3</f>
        <v>29687.106343172254</v>
      </c>
      <c r="E24" s="312">
        <f>E18/9</f>
        <v>1408.4885444444444</v>
      </c>
      <c r="F24" s="247"/>
      <c r="G24" s="246">
        <f>G17/12</f>
        <v>83.64</v>
      </c>
      <c r="H24" s="223"/>
      <c r="I24" s="223"/>
      <c r="J24" s="223">
        <v>986.05</v>
      </c>
      <c r="K24" s="259">
        <f>(G23*G24)*J24</f>
        <v>989678.66399999999</v>
      </c>
      <c r="L24" s="258" t="s">
        <v>354</v>
      </c>
      <c r="N24" s="259">
        <f>K24+K28+K31</f>
        <v>6364560.9240000006</v>
      </c>
      <c r="O24" s="227" t="s">
        <v>354</v>
      </c>
      <c r="P24">
        <v>10.95</v>
      </c>
      <c r="R24">
        <v>11.71</v>
      </c>
      <c r="T24">
        <v>22.83</v>
      </c>
      <c r="V24">
        <v>35.58</v>
      </c>
      <c r="X24">
        <v>37.26</v>
      </c>
      <c r="Z24">
        <v>0</v>
      </c>
      <c r="AB24">
        <v>0</v>
      </c>
      <c r="AD24">
        <v>0</v>
      </c>
      <c r="AF24">
        <v>0</v>
      </c>
      <c r="AH24">
        <v>0</v>
      </c>
      <c r="AJ24">
        <v>0</v>
      </c>
      <c r="AL24">
        <v>13.88</v>
      </c>
    </row>
    <row r="25" spans="2:38">
      <c r="B25" s="247"/>
      <c r="C25" s="247"/>
      <c r="D25" s="247"/>
      <c r="E25" s="247"/>
      <c r="F25" s="247"/>
      <c r="G25" s="247"/>
      <c r="K25" t="s">
        <v>354</v>
      </c>
      <c r="L25" s="192"/>
      <c r="P25">
        <v>8.5</v>
      </c>
      <c r="R25">
        <v>11.42</v>
      </c>
      <c r="T25">
        <v>19.579999999999998</v>
      </c>
      <c r="V25">
        <v>36.229999999999997</v>
      </c>
      <c r="X25">
        <v>38.68</v>
      </c>
      <c r="Z25">
        <v>0</v>
      </c>
      <c r="AB25">
        <v>0</v>
      </c>
      <c r="AD25">
        <v>0</v>
      </c>
      <c r="AF25">
        <v>0</v>
      </c>
      <c r="AH25">
        <v>0</v>
      </c>
      <c r="AJ25">
        <v>0</v>
      </c>
      <c r="AL25">
        <v>10.94</v>
      </c>
    </row>
    <row r="26" spans="2:38">
      <c r="L26" s="192"/>
      <c r="P26">
        <v>7.74</v>
      </c>
      <c r="R26">
        <v>10.83</v>
      </c>
      <c r="T26">
        <v>16.690000000000001</v>
      </c>
      <c r="V26">
        <v>43.5</v>
      </c>
      <c r="X26">
        <v>48.94</v>
      </c>
      <c r="Z26">
        <v>0</v>
      </c>
      <c r="AB26">
        <v>0</v>
      </c>
      <c r="AD26">
        <v>0</v>
      </c>
      <c r="AF26">
        <v>0</v>
      </c>
      <c r="AH26">
        <v>0</v>
      </c>
      <c r="AJ26">
        <v>0</v>
      </c>
      <c r="AL26">
        <v>11.49</v>
      </c>
    </row>
    <row r="27" spans="2:38" ht="15">
      <c r="K27" s="223" t="s">
        <v>355</v>
      </c>
      <c r="L27" s="192"/>
      <c r="P27">
        <v>5.74</v>
      </c>
      <c r="R27">
        <v>4.84</v>
      </c>
      <c r="T27">
        <v>17.68</v>
      </c>
      <c r="V27">
        <v>36.32</v>
      </c>
      <c r="X27">
        <v>40.78</v>
      </c>
      <c r="Z27">
        <v>0</v>
      </c>
      <c r="AB27">
        <v>0</v>
      </c>
      <c r="AD27">
        <v>0</v>
      </c>
      <c r="AF27">
        <v>0</v>
      </c>
      <c r="AH27">
        <v>0</v>
      </c>
      <c r="AJ27">
        <v>0</v>
      </c>
      <c r="AL27">
        <v>11.89</v>
      </c>
    </row>
    <row r="28" spans="2:38" ht="15.75">
      <c r="K28" s="225">
        <v>3012675.6</v>
      </c>
      <c r="L28" s="258" t="s">
        <v>354</v>
      </c>
      <c r="P28">
        <v>5.0199999999999996</v>
      </c>
      <c r="R28">
        <v>4.8899999999999997</v>
      </c>
      <c r="T28">
        <v>27.65</v>
      </c>
      <c r="V28">
        <v>27.66</v>
      </c>
      <c r="X28">
        <v>53.79</v>
      </c>
      <c r="Z28">
        <v>0</v>
      </c>
      <c r="AB28">
        <v>0</v>
      </c>
      <c r="AD28">
        <v>0</v>
      </c>
      <c r="AF28">
        <v>0</v>
      </c>
      <c r="AH28">
        <v>0</v>
      </c>
      <c r="AJ28">
        <v>0</v>
      </c>
      <c r="AL28">
        <v>11.91</v>
      </c>
    </row>
    <row r="29" spans="2:38" ht="15">
      <c r="K29" s="223"/>
      <c r="L29" s="192"/>
      <c r="P29">
        <v>4.87</v>
      </c>
      <c r="R29">
        <v>9.41</v>
      </c>
      <c r="T29">
        <v>24.19</v>
      </c>
      <c r="V29">
        <v>9.59</v>
      </c>
      <c r="X29">
        <v>37.020000000000003</v>
      </c>
      <c r="Z29">
        <v>0</v>
      </c>
      <c r="AB29">
        <v>0</v>
      </c>
      <c r="AD29">
        <v>0</v>
      </c>
      <c r="AF29">
        <v>0</v>
      </c>
      <c r="AH29">
        <v>0</v>
      </c>
      <c r="AJ29">
        <v>0</v>
      </c>
      <c r="AL29">
        <v>11.84</v>
      </c>
    </row>
    <row r="30" spans="2:38" ht="15">
      <c r="K30" s="223" t="s">
        <v>356</v>
      </c>
      <c r="L30" s="192"/>
      <c r="P30">
        <v>3.59</v>
      </c>
      <c r="R30">
        <v>13.62</v>
      </c>
      <c r="T30">
        <v>27.26</v>
      </c>
      <c r="V30">
        <v>0</v>
      </c>
      <c r="X30">
        <v>48.44</v>
      </c>
      <c r="AD30">
        <v>0</v>
      </c>
      <c r="AF30">
        <v>0</v>
      </c>
      <c r="AH30">
        <v>0</v>
      </c>
      <c r="AJ30">
        <v>0</v>
      </c>
    </row>
    <row r="31" spans="2:38" ht="15.75">
      <c r="K31" s="225">
        <v>2362206.66</v>
      </c>
      <c r="L31" s="258" t="s">
        <v>354</v>
      </c>
      <c r="P31" s="226">
        <f>SUM(P6:P30)</f>
        <v>182.65000000000003</v>
      </c>
      <c r="R31" s="226">
        <f>SUM(R6:R30)</f>
        <v>221.76</v>
      </c>
      <c r="T31" s="226">
        <f>SUM(T6:T30)</f>
        <v>456.84</v>
      </c>
      <c r="V31" s="226">
        <f>SUM(V6:V30)</f>
        <v>621.5200000000001</v>
      </c>
      <c r="X31" s="226">
        <f>SUM(X6:X30)</f>
        <v>964.13999999999987</v>
      </c>
      <c r="Z31" s="226">
        <f>SUM(Z6:Z29)</f>
        <v>158.29</v>
      </c>
      <c r="AB31" s="226">
        <f>SUM(AB6:AB29)</f>
        <v>0</v>
      </c>
      <c r="AD31" s="226">
        <f>SUM(AD6:AD30)</f>
        <v>0</v>
      </c>
      <c r="AF31" s="226">
        <f>SUM(AF6:AF30)</f>
        <v>0</v>
      </c>
      <c r="AH31" s="226">
        <f>SUM(AH6:AH30)</f>
        <v>0</v>
      </c>
      <c r="AJ31" s="226">
        <f>SUM(AJ6:AJ30)</f>
        <v>0</v>
      </c>
      <c r="AL31" s="226">
        <f>SUM(AL6:AL29)</f>
        <v>340.89</v>
      </c>
    </row>
    <row r="32" spans="2:38" ht="15">
      <c r="K32" s="223"/>
    </row>
    <row r="33" spans="4:26">
      <c r="R33" t="s">
        <v>323</v>
      </c>
      <c r="T33" s="227">
        <f>(P31+R31+T31+V31)</f>
        <v>1482.77</v>
      </c>
      <c r="X33" t="s">
        <v>323</v>
      </c>
      <c r="Z33" s="227">
        <f>(X31+Z31)</f>
        <v>1122.4299999999998</v>
      </c>
    </row>
    <row r="34" spans="4:26">
      <c r="P34" s="226"/>
    </row>
    <row r="37" spans="4:26">
      <c r="D37" s="255">
        <f>SUM(D35:D36,D9,D11,D13,D15,D17,D19,D21,D23,D25,D27,D29,D31,D33)+0.01</f>
        <v>0.01</v>
      </c>
      <c r="E37">
        <f>SUM(E9,E11,E13,E15,E17,E19,E21,E23,E25,E27,E29,E31,E33,E35)+0.01</f>
        <v>5683.7768999999998</v>
      </c>
    </row>
  </sheetData>
  <mergeCells count="2">
    <mergeCell ref="P5:V5"/>
    <mergeCell ref="X5:AD5"/>
  </mergeCells>
  <pageMargins left="0.511811024" right="0.511811024" top="0.78740157499999996" bottom="0.78740157499999996" header="0.31496062000000002" footer="0.31496062000000002"/>
  <pageSetup paperSize="9" fitToHeight="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37872D-1FE5-4A40-8D88-11FE11780B9D}">
  <sheetPr>
    <pageSetUpPr fitToPage="1"/>
  </sheetPr>
  <dimension ref="B2:O41"/>
  <sheetViews>
    <sheetView workbookViewId="0">
      <selection activeCell="D41" sqref="D41"/>
    </sheetView>
  </sheetViews>
  <sheetFormatPr defaultRowHeight="12.75"/>
  <cols>
    <col min="2" max="2" width="12" customWidth="1"/>
    <col min="3" max="3" width="21.140625" customWidth="1"/>
    <col min="4" max="4" width="22" customWidth="1"/>
    <col min="5" max="5" width="25.42578125" customWidth="1"/>
    <col min="6" max="9" width="15.28515625" bestFit="1" customWidth="1"/>
    <col min="11" max="11" width="0" hidden="1" customWidth="1"/>
    <col min="12" max="12" width="18.5703125" hidden="1" customWidth="1"/>
    <col min="13" max="13" width="0" hidden="1" customWidth="1"/>
    <col min="14" max="14" width="4" hidden="1" customWidth="1"/>
    <col min="15" max="20" width="0" hidden="1" customWidth="1"/>
  </cols>
  <sheetData>
    <row r="2" spans="2:15">
      <c r="C2">
        <f ca="1">('1_1_Coleta_BX_TEMP'!E31)+3.135</f>
        <v>333529.46210518881</v>
      </c>
    </row>
    <row r="3" spans="2:15" ht="57.75" customHeight="1"/>
    <row r="4" spans="2:15" ht="15.75">
      <c r="B4" s="344" t="s">
        <v>335</v>
      </c>
      <c r="C4" s="345"/>
      <c r="D4" s="345"/>
      <c r="E4" s="345"/>
      <c r="F4" s="345"/>
      <c r="G4" s="345"/>
      <c r="H4" s="345"/>
      <c r="I4" s="346"/>
    </row>
    <row r="6" spans="2:15" ht="15">
      <c r="B6" s="246" t="s">
        <v>336</v>
      </c>
      <c r="C6" s="246">
        <f>('1_1_Coleta_SELETIVA'!E29)-0.007</f>
        <v>83585.159029516755</v>
      </c>
      <c r="D6" s="246" t="s">
        <v>353</v>
      </c>
      <c r="E6" s="246" t="s">
        <v>353</v>
      </c>
      <c r="F6" s="246" t="s">
        <v>352</v>
      </c>
      <c r="G6" s="246" t="s">
        <v>352</v>
      </c>
      <c r="H6" s="246" t="s">
        <v>352</v>
      </c>
      <c r="I6" s="246" t="s">
        <v>352</v>
      </c>
      <c r="O6">
        <v>24</v>
      </c>
    </row>
    <row r="7" spans="2:15" ht="15.75">
      <c r="B7" s="305" t="s">
        <v>351</v>
      </c>
      <c r="C7" s="306">
        <v>2019</v>
      </c>
      <c r="D7" s="306">
        <v>2020</v>
      </c>
      <c r="E7" s="306">
        <v>2021</v>
      </c>
      <c r="F7" s="306">
        <v>2022</v>
      </c>
      <c r="G7" s="306">
        <v>2023</v>
      </c>
      <c r="H7" s="306">
        <v>2024</v>
      </c>
      <c r="I7" s="306">
        <v>2025</v>
      </c>
      <c r="M7" s="253">
        <v>2582.04</v>
      </c>
      <c r="O7" s="255">
        <f>H8-M7</f>
        <v>105.76000000000022</v>
      </c>
    </row>
    <row r="8" spans="2:15" ht="15">
      <c r="B8" s="246" t="s">
        <v>337</v>
      </c>
      <c r="C8" s="250">
        <v>2630.82</v>
      </c>
      <c r="D8" s="250">
        <v>2585.36</v>
      </c>
      <c r="E8" s="250">
        <v>2434.69</v>
      </c>
      <c r="F8" s="250">
        <v>2456.38</v>
      </c>
      <c r="G8" s="250">
        <v>2488.96</v>
      </c>
      <c r="H8" s="251">
        <v>2687.8</v>
      </c>
      <c r="I8" s="250">
        <v>2870.96</v>
      </c>
      <c r="K8">
        <f>I8/56430</f>
        <v>5.0876484139642034E-2</v>
      </c>
      <c r="L8">
        <f>SUM(G10:G18)</f>
        <v>11687.3</v>
      </c>
      <c r="M8" s="253">
        <v>2016.58</v>
      </c>
      <c r="O8" s="255">
        <f t="shared" ref="O8:O15" si="0">H9-M8</f>
        <v>162.7800000000002</v>
      </c>
    </row>
    <row r="9" spans="2:15" ht="15">
      <c r="B9" s="246" t="s">
        <v>338</v>
      </c>
      <c r="C9" s="250">
        <v>1872.09</v>
      </c>
      <c r="D9" s="250">
        <v>2063.46</v>
      </c>
      <c r="E9" s="250">
        <v>1929.93</v>
      </c>
      <c r="F9" s="250">
        <v>1756.84</v>
      </c>
      <c r="G9" s="250">
        <v>1921.66</v>
      </c>
      <c r="H9" s="250">
        <v>2179.36</v>
      </c>
      <c r="I9" s="250">
        <v>2112.0500000000002</v>
      </c>
      <c r="K9">
        <f>I9/56430</f>
        <v>3.7427786638312956E-2</v>
      </c>
      <c r="L9">
        <f>L8/9</f>
        <v>1298.5888888888887</v>
      </c>
      <c r="M9" s="253">
        <v>1534.68</v>
      </c>
      <c r="O9" s="255">
        <f t="shared" si="0"/>
        <v>37.779999999999973</v>
      </c>
    </row>
    <row r="10" spans="2:15" ht="15">
      <c r="B10" s="246" t="s">
        <v>339</v>
      </c>
      <c r="C10" s="250">
        <v>1491.73</v>
      </c>
      <c r="D10" s="250">
        <v>1394.66</v>
      </c>
      <c r="E10" s="250">
        <v>1505.54</v>
      </c>
      <c r="F10" s="250">
        <v>1521.78</v>
      </c>
      <c r="G10" s="250">
        <v>1464.4</v>
      </c>
      <c r="H10" s="250">
        <v>1572.46</v>
      </c>
      <c r="I10" s="250">
        <v>1859.38</v>
      </c>
      <c r="K10">
        <f>H10/56430</f>
        <v>2.786567428672692E-2</v>
      </c>
      <c r="M10" s="254">
        <v>1364.82</v>
      </c>
      <c r="O10" s="255">
        <f t="shared" si="0"/>
        <v>36.560000000000173</v>
      </c>
    </row>
    <row r="11" spans="2:15" ht="15">
      <c r="B11" s="246" t="s">
        <v>340</v>
      </c>
      <c r="C11" s="250">
        <v>1210.8699999999999</v>
      </c>
      <c r="D11" s="250">
        <v>1216.24</v>
      </c>
      <c r="E11" s="250">
        <v>1329.75</v>
      </c>
      <c r="F11" s="250">
        <v>1269.9100000000001</v>
      </c>
      <c r="G11" s="250">
        <v>1270.71</v>
      </c>
      <c r="H11" s="250">
        <v>1401.38</v>
      </c>
      <c r="I11" s="250">
        <v>1505.55</v>
      </c>
      <c r="K11">
        <f t="shared" ref="K11:K19" si="1">H11/56430</f>
        <v>2.4833953570795677E-2</v>
      </c>
      <c r="M11" s="254">
        <v>1484.38</v>
      </c>
      <c r="O11" s="255">
        <f t="shared" si="0"/>
        <v>27.829999999999927</v>
      </c>
    </row>
    <row r="12" spans="2:15" ht="15">
      <c r="B12" s="246" t="s">
        <v>341</v>
      </c>
      <c r="C12" s="250">
        <v>1126.92</v>
      </c>
      <c r="D12" s="250">
        <v>1153.77</v>
      </c>
      <c r="E12" s="250">
        <v>1199.1300000000001</v>
      </c>
      <c r="F12" s="250">
        <v>1126.47</v>
      </c>
      <c r="G12" s="250">
        <v>1270.71</v>
      </c>
      <c r="H12" s="250">
        <v>1512.21</v>
      </c>
      <c r="I12" s="250">
        <v>1373.02</v>
      </c>
      <c r="K12">
        <f t="shared" si="1"/>
        <v>2.67979797979798E-2</v>
      </c>
      <c r="M12" s="254">
        <v>1419.92</v>
      </c>
      <c r="O12" s="255">
        <f t="shared" si="0"/>
        <v>22.289999999999964</v>
      </c>
    </row>
    <row r="13" spans="2:15" ht="15">
      <c r="B13" s="246" t="s">
        <v>342</v>
      </c>
      <c r="C13" s="250">
        <v>1134.1500000000001</v>
      </c>
      <c r="D13" s="250">
        <v>1220.54</v>
      </c>
      <c r="E13" s="250">
        <v>1159.8699999999999</v>
      </c>
      <c r="F13" s="250">
        <v>1144.26</v>
      </c>
      <c r="G13" s="250">
        <v>1185.68</v>
      </c>
      <c r="H13" s="250">
        <v>1442.21</v>
      </c>
      <c r="I13" s="250">
        <v>1275.33</v>
      </c>
      <c r="K13">
        <f t="shared" si="1"/>
        <v>2.5557504873294348E-2</v>
      </c>
      <c r="M13" s="254">
        <v>1395.57</v>
      </c>
      <c r="O13" s="255">
        <f t="shared" si="0"/>
        <v>96.509999999999991</v>
      </c>
    </row>
    <row r="14" spans="2:15" ht="15">
      <c r="B14" s="246" t="s">
        <v>343</v>
      </c>
      <c r="C14" s="250">
        <v>1119.3</v>
      </c>
      <c r="D14" s="250">
        <v>1278.8699999999999</v>
      </c>
      <c r="E14" s="250">
        <v>1247.75</v>
      </c>
      <c r="F14" s="250">
        <v>1210.31</v>
      </c>
      <c r="G14" s="250">
        <v>1276.27</v>
      </c>
      <c r="H14" s="250">
        <v>1492.08</v>
      </c>
      <c r="I14" s="250">
        <v>1385.37</v>
      </c>
      <c r="K14">
        <f t="shared" si="1"/>
        <v>2.6441254651780967E-2</v>
      </c>
      <c r="M14" s="254">
        <v>1331.63</v>
      </c>
      <c r="O14" s="255">
        <f t="shared" si="0"/>
        <v>30.189999999999827</v>
      </c>
    </row>
    <row r="15" spans="2:15" ht="15">
      <c r="B15" s="246" t="s">
        <v>344</v>
      </c>
      <c r="C15" s="250">
        <v>1028.9100000000001</v>
      </c>
      <c r="D15" s="250">
        <v>1245.8399999999999</v>
      </c>
      <c r="E15" s="250">
        <v>1202.1300000000001</v>
      </c>
      <c r="F15" s="250">
        <v>1253.99</v>
      </c>
      <c r="G15" s="250">
        <v>1243.5899999999999</v>
      </c>
      <c r="H15" s="250">
        <v>1361.82</v>
      </c>
      <c r="I15" s="250">
        <v>1307.08</v>
      </c>
      <c r="K15">
        <f t="shared" si="1"/>
        <v>2.4132908027644867E-2</v>
      </c>
      <c r="M15" s="254">
        <v>1388.12</v>
      </c>
      <c r="O15" s="255">
        <f t="shared" si="0"/>
        <v>26.580000000000155</v>
      </c>
    </row>
    <row r="16" spans="2:15" ht="15">
      <c r="B16" s="246" t="s">
        <v>345</v>
      </c>
      <c r="C16" s="250">
        <v>1078.1300000000001</v>
      </c>
      <c r="D16" s="250">
        <v>1287.8800000000001</v>
      </c>
      <c r="E16" s="250">
        <v>1331.95</v>
      </c>
      <c r="F16" s="250">
        <v>1159.74</v>
      </c>
      <c r="G16" s="250">
        <v>1220.21</v>
      </c>
      <c r="H16" s="251">
        <v>1414.7</v>
      </c>
      <c r="I16" s="251">
        <v>1333.3</v>
      </c>
      <c r="K16">
        <f t="shared" si="1"/>
        <v>2.5069998227892965E-2</v>
      </c>
    </row>
    <row r="17" spans="2:15" ht="15">
      <c r="B17" s="246" t="s">
        <v>346</v>
      </c>
      <c r="C17" s="250">
        <v>1215.48</v>
      </c>
      <c r="D17" s="250">
        <v>1473.36</v>
      </c>
      <c r="E17" s="251">
        <v>1261.5999999999999</v>
      </c>
      <c r="F17" s="250">
        <v>1232.0899999999999</v>
      </c>
      <c r="G17" s="250">
        <v>1375.1</v>
      </c>
      <c r="H17" s="250">
        <v>1566.54</v>
      </c>
      <c r="I17" s="250">
        <v>1590.11</v>
      </c>
      <c r="K17">
        <f t="shared" si="1"/>
        <v>2.7760765550239232E-2</v>
      </c>
    </row>
    <row r="18" spans="2:15" ht="15">
      <c r="B18" s="246" t="s">
        <v>347</v>
      </c>
      <c r="C18" s="250">
        <v>1280.29</v>
      </c>
      <c r="D18" s="251">
        <v>1445.2</v>
      </c>
      <c r="E18" s="250">
        <v>1433.13</v>
      </c>
      <c r="F18" s="250">
        <v>1388.47</v>
      </c>
      <c r="G18" s="250">
        <v>1380.63</v>
      </c>
      <c r="H18" s="250">
        <v>1680.41</v>
      </c>
      <c r="I18" s="317">
        <v>1514.57</v>
      </c>
      <c r="K18">
        <f t="shared" si="1"/>
        <v>2.9778663831295411E-2</v>
      </c>
      <c r="O18" t="s">
        <v>394</v>
      </c>
    </row>
    <row r="19" spans="2:15" ht="15">
      <c r="B19" s="246" t="s">
        <v>348</v>
      </c>
      <c r="C19" s="250">
        <v>1898.21</v>
      </c>
      <c r="D19" s="250">
        <v>1989.85</v>
      </c>
      <c r="E19" s="250">
        <v>1811.66</v>
      </c>
      <c r="F19" s="250">
        <v>1892.1</v>
      </c>
      <c r="G19" s="250">
        <v>2070.27</v>
      </c>
      <c r="H19" s="250">
        <v>2283.83</v>
      </c>
      <c r="I19" s="317">
        <v>2403.29</v>
      </c>
      <c r="K19">
        <f t="shared" si="1"/>
        <v>4.0471912103491048E-2</v>
      </c>
      <c r="O19">
        <v>2023</v>
      </c>
    </row>
    <row r="20" spans="2:15">
      <c r="B20" s="247"/>
      <c r="C20" s="249"/>
      <c r="D20" s="249"/>
      <c r="E20" s="249"/>
      <c r="F20" s="249"/>
      <c r="G20" s="249"/>
      <c r="H20" s="249"/>
      <c r="I20" s="249"/>
    </row>
    <row r="21" spans="2:15" ht="15.75">
      <c r="B21" s="248" t="s">
        <v>349</v>
      </c>
      <c r="C21" s="252">
        <f t="shared" ref="C21:K21" si="2">SUM(C8:C19)</f>
        <v>17086.899999999998</v>
      </c>
      <c r="D21" s="252">
        <f t="shared" si="2"/>
        <v>18355.03</v>
      </c>
      <c r="E21" s="252">
        <f t="shared" si="2"/>
        <v>17847.13</v>
      </c>
      <c r="F21" s="252">
        <f t="shared" si="2"/>
        <v>17412.339999999997</v>
      </c>
      <c r="G21" s="252">
        <f t="shared" si="2"/>
        <v>18168.190000000002</v>
      </c>
      <c r="H21" s="252">
        <f t="shared" si="2"/>
        <v>20594.799999999996</v>
      </c>
      <c r="I21" s="252">
        <f t="shared" si="2"/>
        <v>20530.009999999998</v>
      </c>
      <c r="K21" s="252">
        <f t="shared" si="2"/>
        <v>0.36701488569909618</v>
      </c>
      <c r="L21" s="308">
        <f>K21/12</f>
        <v>3.0584573808258016E-2</v>
      </c>
    </row>
    <row r="22" spans="2:15" ht="65.25" customHeight="1"/>
    <row r="23" spans="2:15" ht="91.5" customHeight="1"/>
    <row r="24" spans="2:15" ht="15.75">
      <c r="B24" s="347" t="s">
        <v>350</v>
      </c>
      <c r="C24" s="347"/>
      <c r="D24" s="347"/>
      <c r="E24" s="347"/>
      <c r="F24" s="225"/>
      <c r="G24" s="225"/>
      <c r="H24" s="225"/>
      <c r="I24" s="225"/>
    </row>
    <row r="26" spans="2:15" ht="15">
      <c r="B26" s="246" t="s">
        <v>336</v>
      </c>
      <c r="C26" s="246" t="s">
        <v>352</v>
      </c>
      <c r="D26" s="246" t="s">
        <v>352</v>
      </c>
      <c r="E26" s="246" t="s">
        <v>352</v>
      </c>
      <c r="F26" s="223"/>
      <c r="G26" s="223"/>
      <c r="H26" s="223"/>
      <c r="I26" s="223"/>
    </row>
    <row r="27" spans="2:15" ht="15">
      <c r="B27" s="305"/>
      <c r="C27" s="307">
        <v>2023</v>
      </c>
      <c r="D27" s="307">
        <v>2024</v>
      </c>
      <c r="E27" s="307">
        <v>2025</v>
      </c>
      <c r="F27" s="254"/>
      <c r="G27" s="254"/>
      <c r="H27" s="254"/>
      <c r="I27" s="254"/>
    </row>
    <row r="28" spans="2:15" ht="15">
      <c r="B28" s="246" t="s">
        <v>337</v>
      </c>
      <c r="C28" s="250">
        <v>70.099999999999994</v>
      </c>
      <c r="D28" s="251">
        <v>75.760000000000005</v>
      </c>
      <c r="E28" s="250">
        <v>55.58</v>
      </c>
      <c r="F28" s="223"/>
      <c r="G28" s="254"/>
      <c r="H28" s="256"/>
      <c r="I28" s="254"/>
    </row>
    <row r="29" spans="2:15" ht="15">
      <c r="B29" s="246" t="s">
        <v>338</v>
      </c>
      <c r="C29" s="250">
        <v>66.25</v>
      </c>
      <c r="D29" s="250">
        <v>62.78</v>
      </c>
      <c r="E29" s="250">
        <v>47.21</v>
      </c>
      <c r="F29" s="223"/>
      <c r="G29" s="254"/>
      <c r="H29" s="254"/>
      <c r="I29" s="254"/>
    </row>
    <row r="30" spans="2:15" ht="15">
      <c r="B30" s="246" t="s">
        <v>339</v>
      </c>
      <c r="C30" s="250">
        <v>30.46</v>
      </c>
      <c r="D30" s="250">
        <v>29.36</v>
      </c>
      <c r="E30" s="250">
        <v>45.93</v>
      </c>
      <c r="F30" s="223"/>
      <c r="G30" s="254"/>
      <c r="H30" s="254"/>
      <c r="I30" s="254"/>
    </row>
    <row r="31" spans="2:15" ht="15">
      <c r="B31" s="246" t="s">
        <v>340</v>
      </c>
      <c r="C31" s="250">
        <v>23.31</v>
      </c>
      <c r="D31" s="250">
        <v>29.95</v>
      </c>
      <c r="E31" s="250">
        <v>37.76</v>
      </c>
      <c r="F31" s="223"/>
      <c r="G31" s="254"/>
      <c r="H31" s="254"/>
      <c r="I31" s="254"/>
    </row>
    <row r="32" spans="2:15" ht="15">
      <c r="B32" s="246" t="s">
        <v>341</v>
      </c>
      <c r="C32" s="250">
        <v>27.48</v>
      </c>
      <c r="D32" s="250">
        <v>26.71</v>
      </c>
      <c r="E32" s="250">
        <v>32.26</v>
      </c>
      <c r="F32" s="223"/>
      <c r="G32" s="254"/>
      <c r="H32" s="254"/>
      <c r="I32" s="254"/>
    </row>
    <row r="33" spans="2:9" ht="15">
      <c r="B33" s="246" t="s">
        <v>342</v>
      </c>
      <c r="C33" s="250">
        <v>26.39</v>
      </c>
      <c r="D33" s="250">
        <v>24.11</v>
      </c>
      <c r="E33" s="250">
        <v>29.35</v>
      </c>
      <c r="F33" s="223"/>
      <c r="G33" s="254"/>
      <c r="H33" s="254"/>
      <c r="I33" s="254"/>
    </row>
    <row r="34" spans="2:9" ht="15">
      <c r="B34" s="246" t="s">
        <v>343</v>
      </c>
      <c r="C34" s="250">
        <v>32.479999999999997</v>
      </c>
      <c r="D34" s="250">
        <v>33.06</v>
      </c>
      <c r="E34" s="250">
        <v>54.76</v>
      </c>
      <c r="F34" s="223"/>
      <c r="G34" s="254"/>
      <c r="H34" s="254"/>
      <c r="I34" s="254"/>
    </row>
    <row r="35" spans="2:9" ht="15">
      <c r="B35" s="246" t="s">
        <v>344</v>
      </c>
      <c r="C35" s="250">
        <v>34.26</v>
      </c>
      <c r="D35" s="250">
        <v>30.58</v>
      </c>
      <c r="E35" s="250">
        <v>33.61</v>
      </c>
      <c r="F35" s="223"/>
      <c r="G35" s="254"/>
      <c r="H35" s="254"/>
      <c r="I35" s="254"/>
    </row>
    <row r="36" spans="2:9" ht="15">
      <c r="B36" s="246" t="s">
        <v>345</v>
      </c>
      <c r="C36" s="250">
        <v>23.09</v>
      </c>
      <c r="D36" s="251">
        <v>30.38</v>
      </c>
      <c r="E36" s="250">
        <v>48.55</v>
      </c>
      <c r="F36" s="223"/>
      <c r="G36" s="254"/>
      <c r="H36" s="256"/>
      <c r="I36" s="254"/>
    </row>
    <row r="37" spans="2:9" ht="15">
      <c r="B37" s="246" t="s">
        <v>346</v>
      </c>
      <c r="C37" s="250">
        <v>34.04</v>
      </c>
      <c r="D37" s="251">
        <f>SUM(D35:D36,D9,D11,D13,D15,D17,D19,D21,D23,D25,D27,D29,D31,D33)+0.01</f>
        <v>29766.129999999997</v>
      </c>
      <c r="E37" s="251">
        <f>SUM(E9,E11,E13,E15,E17,E19,E21,E23,E25,E27,E29,E31,E33,E35)+0.01</f>
        <v>28715.009999999995</v>
      </c>
      <c r="F37" s="223"/>
      <c r="G37" s="254"/>
      <c r="H37" s="254"/>
      <c r="I37" s="254"/>
    </row>
    <row r="38" spans="2:9" ht="15">
      <c r="B38" s="246" t="s">
        <v>347</v>
      </c>
      <c r="C38" s="250">
        <v>32.71</v>
      </c>
      <c r="D38" s="250">
        <v>56.66</v>
      </c>
      <c r="E38" s="250">
        <v>27.16</v>
      </c>
      <c r="F38" s="223"/>
      <c r="G38" s="254"/>
      <c r="H38" s="254"/>
      <c r="I38" s="254"/>
    </row>
    <row r="39" spans="2:9" ht="15">
      <c r="B39" s="246" t="s">
        <v>348</v>
      </c>
      <c r="C39" s="250">
        <v>40.380000000000003</v>
      </c>
      <c r="D39" s="250">
        <v>52.83</v>
      </c>
      <c r="E39" s="250">
        <v>69.709999999999994</v>
      </c>
      <c r="F39" s="223"/>
      <c r="G39" s="254"/>
      <c r="H39" s="254"/>
      <c r="I39" s="254"/>
    </row>
    <row r="40" spans="2:9">
      <c r="B40" s="247"/>
      <c r="C40" s="249"/>
      <c r="D40" s="249"/>
      <c r="E40" s="249"/>
      <c r="G40" s="192"/>
      <c r="H40" s="192"/>
      <c r="I40" s="192"/>
    </row>
    <row r="41" spans="2:9" ht="15.75">
      <c r="B41" s="248" t="s">
        <v>349</v>
      </c>
      <c r="C41" s="252">
        <f>SUM(C28:C39)</f>
        <v>440.95</v>
      </c>
      <c r="D41" s="252">
        <f>SUM(D28:D39)</f>
        <v>30218.309999999998</v>
      </c>
      <c r="E41" s="252">
        <f>SUM(E28:E39)</f>
        <v>29196.889999999992</v>
      </c>
      <c r="F41" s="225"/>
      <c r="G41" s="257"/>
      <c r="H41" s="257"/>
      <c r="I41" s="257"/>
    </row>
  </sheetData>
  <mergeCells count="2">
    <mergeCell ref="B4:I4"/>
    <mergeCell ref="B24:E24"/>
  </mergeCells>
  <pageMargins left="0.511811024" right="0.511811024" top="0.78740157499999996" bottom="0.78740157499999996" header="0.31496062000000002" footer="0.31496062000000002"/>
  <pageSetup paperSize="9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L369"/>
  <sheetViews>
    <sheetView view="pageBreakPreview" topLeftCell="A13" zoomScaleNormal="100" zoomScaleSheetLayoutView="100" workbookViewId="0">
      <selection activeCell="D41" sqref="D41"/>
    </sheetView>
  </sheetViews>
  <sheetFormatPr defaultRowHeight="12.75"/>
  <cols>
    <col min="1" max="1" width="45" style="3" customWidth="1"/>
    <col min="2" max="2" width="11.28515625" style="3" customWidth="1"/>
    <col min="3" max="3" width="11.42578125" style="3" customWidth="1"/>
    <col min="4" max="4" width="11.5703125" style="2" customWidth="1"/>
    <col min="5" max="5" width="15.42578125" style="2" customWidth="1"/>
    <col min="6" max="6" width="11.42578125" style="2" customWidth="1"/>
    <col min="7" max="7" width="18.7109375" style="2" customWidth="1"/>
    <col min="8" max="8" width="20" style="3" customWidth="1"/>
    <col min="9" max="9" width="15" style="3" customWidth="1"/>
    <col min="10" max="10" width="13.7109375" style="3" customWidth="1"/>
    <col min="11" max="64" width="9.42578125" style="3" customWidth="1"/>
    <col min="65" max="65" width="8.85546875" customWidth="1"/>
  </cols>
  <sheetData>
    <row r="1" spans="1:64">
      <c r="A1" s="326" t="s">
        <v>0</v>
      </c>
      <c r="B1" s="326"/>
      <c r="C1" s="326"/>
      <c r="D1" s="326"/>
      <c r="E1" s="326"/>
      <c r="F1" s="326"/>
    </row>
    <row r="2" spans="1:64" ht="56.25" customHeight="1">
      <c r="A2" s="326"/>
      <c r="B2" s="326"/>
      <c r="C2" s="326"/>
      <c r="D2" s="326"/>
      <c r="E2" s="326"/>
      <c r="F2" s="326"/>
    </row>
    <row r="3" spans="1:64" hidden="1">
      <c r="A3" s="326"/>
      <c r="B3" s="326"/>
      <c r="C3" s="326"/>
      <c r="D3" s="326"/>
      <c r="E3" s="326"/>
      <c r="F3" s="326"/>
    </row>
    <row r="4" spans="1:64" hidden="1">
      <c r="A4" s="326"/>
      <c r="B4" s="326"/>
      <c r="C4" s="326"/>
      <c r="D4" s="326"/>
      <c r="E4" s="326"/>
      <c r="F4" s="326"/>
    </row>
    <row r="5" spans="1:64" ht="15.6" hidden="1" customHeight="1">
      <c r="A5" s="326"/>
      <c r="B5" s="326"/>
      <c r="C5" s="326"/>
      <c r="D5" s="326"/>
      <c r="E5" s="326"/>
      <c r="F5" s="326"/>
      <c r="G5" s="4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</row>
    <row r="6" spans="1:64" ht="31.35" customHeight="1">
      <c r="A6" s="327" t="s">
        <v>393</v>
      </c>
      <c r="B6" s="327"/>
      <c r="C6" s="327"/>
      <c r="D6" s="327"/>
      <c r="E6" s="327"/>
      <c r="F6" s="327"/>
      <c r="G6" s="4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</row>
    <row r="7" spans="1:64" ht="23.1" customHeight="1">
      <c r="A7" s="327"/>
      <c r="B7" s="327"/>
      <c r="C7" s="327"/>
      <c r="D7" s="327"/>
      <c r="E7" s="327"/>
      <c r="F7" s="327"/>
      <c r="G7" s="121"/>
      <c r="H7" s="120"/>
      <c r="I7" s="120"/>
      <c r="J7" s="120"/>
      <c r="K7" s="120"/>
      <c r="L7" s="120"/>
      <c r="M7" s="120"/>
      <c r="N7" s="120"/>
      <c r="O7" s="120"/>
      <c r="P7" s="120"/>
      <c r="Q7" s="120"/>
      <c r="R7" s="120"/>
      <c r="S7" s="120"/>
      <c r="T7" s="120"/>
      <c r="U7" s="120"/>
      <c r="V7" s="120"/>
      <c r="W7" s="120"/>
      <c r="X7" s="120"/>
      <c r="Y7" s="120"/>
      <c r="Z7" s="120"/>
      <c r="AA7" s="120"/>
      <c r="AB7" s="120"/>
      <c r="AC7" s="120"/>
      <c r="AD7" s="120"/>
      <c r="AE7" s="120"/>
      <c r="AF7" s="120"/>
      <c r="AG7" s="120"/>
      <c r="AH7" s="120"/>
      <c r="AI7" s="120"/>
      <c r="AJ7" s="120"/>
      <c r="AK7" s="120"/>
      <c r="AL7" s="120"/>
      <c r="AM7" s="120"/>
      <c r="AN7" s="120"/>
      <c r="AO7" s="120"/>
      <c r="AP7" s="120"/>
      <c r="AQ7" s="120"/>
      <c r="AR7" s="120"/>
      <c r="AS7" s="120"/>
      <c r="AT7" s="120"/>
      <c r="AU7" s="120"/>
      <c r="AV7" s="120"/>
      <c r="AW7" s="120"/>
      <c r="AX7" s="120"/>
      <c r="AY7" s="120"/>
      <c r="AZ7" s="120"/>
      <c r="BA7" s="120"/>
      <c r="BB7" s="120"/>
      <c r="BC7" s="120"/>
      <c r="BD7" s="120"/>
      <c r="BE7" s="120"/>
      <c r="BF7" s="120"/>
      <c r="BG7" s="120"/>
      <c r="BH7" s="120"/>
      <c r="BI7" s="120"/>
      <c r="BJ7" s="120"/>
      <c r="BK7" s="120"/>
      <c r="BL7" s="120"/>
    </row>
    <row r="8" spans="1:64" ht="11.25" customHeight="1">
      <c r="A8" s="327"/>
      <c r="B8" s="327"/>
      <c r="C8" s="327"/>
      <c r="D8" s="327"/>
      <c r="E8" s="327"/>
      <c r="F8" s="327"/>
      <c r="G8" s="121"/>
      <c r="H8" s="120"/>
      <c r="I8" s="120"/>
      <c r="J8" s="120"/>
      <c r="K8" s="120"/>
      <c r="L8" s="120"/>
      <c r="M8" s="120"/>
      <c r="N8" s="120"/>
      <c r="O8" s="120"/>
      <c r="P8" s="120"/>
      <c r="Q8" s="120"/>
      <c r="R8" s="120"/>
      <c r="S8" s="120"/>
      <c r="T8" s="120"/>
      <c r="U8" s="120"/>
      <c r="V8" s="120"/>
      <c r="W8" s="120"/>
      <c r="X8" s="120"/>
      <c r="Y8" s="120"/>
      <c r="Z8" s="120"/>
      <c r="AA8" s="120"/>
      <c r="AB8" s="120"/>
      <c r="AC8" s="120"/>
      <c r="AD8" s="120"/>
      <c r="AE8" s="120"/>
      <c r="AF8" s="120"/>
      <c r="AG8" s="120"/>
      <c r="AH8" s="120"/>
      <c r="AI8" s="120"/>
      <c r="AJ8" s="120"/>
      <c r="AK8" s="120"/>
      <c r="AL8" s="120"/>
      <c r="AM8" s="120"/>
      <c r="AN8" s="120"/>
      <c r="AO8" s="120"/>
      <c r="AP8" s="120"/>
      <c r="AQ8" s="120"/>
      <c r="AR8" s="120"/>
      <c r="AS8" s="120"/>
      <c r="AT8" s="120"/>
      <c r="AU8" s="120"/>
      <c r="AV8" s="120"/>
      <c r="AW8" s="120"/>
      <c r="AX8" s="120"/>
      <c r="AY8" s="120"/>
      <c r="AZ8" s="120"/>
      <c r="BA8" s="120"/>
      <c r="BB8" s="120"/>
      <c r="BC8" s="120"/>
      <c r="BD8" s="120"/>
      <c r="BE8" s="120"/>
      <c r="BF8" s="120"/>
      <c r="BG8" s="120"/>
      <c r="BH8" s="120"/>
      <c r="BI8" s="120"/>
      <c r="BJ8" s="120"/>
      <c r="BK8" s="120"/>
      <c r="BL8" s="120"/>
    </row>
    <row r="9" spans="1:64" ht="7.5" hidden="1" customHeight="1">
      <c r="A9" s="327"/>
      <c r="B9" s="327"/>
      <c r="C9" s="327"/>
      <c r="D9" s="327"/>
      <c r="E9" s="327"/>
      <c r="F9" s="327"/>
      <c r="G9" s="4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</row>
    <row r="10" spans="1:64" ht="15.75" customHeight="1">
      <c r="A10" s="328" t="s">
        <v>1</v>
      </c>
      <c r="B10" s="328"/>
      <c r="C10" s="328"/>
      <c r="D10" s="328"/>
      <c r="E10" s="328"/>
      <c r="F10" s="328"/>
      <c r="G10" s="4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</row>
    <row r="11" spans="1:64" ht="15.75" customHeight="1">
      <c r="A11" s="6" t="s">
        <v>2</v>
      </c>
      <c r="B11" s="7"/>
      <c r="C11" s="7"/>
      <c r="D11" s="8"/>
      <c r="E11" s="9" t="s">
        <v>3</v>
      </c>
      <c r="F11" s="10" t="s">
        <v>4</v>
      </c>
      <c r="G11" s="4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</row>
    <row r="12" spans="1:64" ht="15.75" customHeight="1">
      <c r="A12" s="9" t="str">
        <f>A56</f>
        <v>1. Mão-de-obra</v>
      </c>
      <c r="B12" s="11"/>
      <c r="C12" s="8"/>
      <c r="D12" s="8"/>
      <c r="E12" s="12">
        <f>+F129</f>
        <v>324433.51665176335</v>
      </c>
      <c r="F12" s="13">
        <f t="shared" ref="F12:F37" si="0">IFERROR(E12/$E$38,0)</f>
        <v>0.3194715361509467</v>
      </c>
      <c r="G12" s="14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</row>
    <row r="13" spans="1:64" ht="15.75" customHeight="1">
      <c r="A13" s="16" t="str">
        <f>A58</f>
        <v>1.1. Coletor Turno Dia</v>
      </c>
      <c r="B13" s="17"/>
      <c r="C13" s="7"/>
      <c r="D13" s="7"/>
      <c r="E13" s="18">
        <f>F69</f>
        <v>204271.40302068822</v>
      </c>
      <c r="F13" s="19">
        <f t="shared" si="0"/>
        <v>0.20114721681106465</v>
      </c>
      <c r="G13" s="4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</row>
    <row r="14" spans="1:64" ht="15.75" customHeight="1">
      <c r="A14" s="16" t="str">
        <f>A72</f>
        <v>1.2. Motorista Turno do Dia</v>
      </c>
      <c r="B14" s="17"/>
      <c r="C14" s="7"/>
      <c r="D14" s="7"/>
      <c r="E14" s="18">
        <f>F85</f>
        <v>83146.9462191645</v>
      </c>
      <c r="F14" s="19">
        <f t="shared" si="0"/>
        <v>8.1875272656889528E-2</v>
      </c>
      <c r="G14" s="4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</row>
    <row r="15" spans="1:64" ht="15.75" customHeight="1">
      <c r="A15" s="16" t="str">
        <f>A88</f>
        <v>1.3 Responsável Técnico</v>
      </c>
      <c r="B15" s="17"/>
      <c r="C15" s="7"/>
      <c r="D15" s="7"/>
      <c r="E15" s="18">
        <f>F103</f>
        <v>2192.5326119105921</v>
      </c>
      <c r="F15" s="19">
        <f t="shared" si="0"/>
        <v>2.1589993808807583E-3</v>
      </c>
      <c r="G15" s="4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</row>
    <row r="16" spans="1:64" ht="15.75" customHeight="1">
      <c r="A16" s="16" t="str">
        <f>A105</f>
        <v>1.4. Vale Transporte</v>
      </c>
      <c r="B16" s="17"/>
      <c r="C16" s="7"/>
      <c r="D16" s="7"/>
      <c r="E16" s="18">
        <f>F112</f>
        <v>7644.2148000000016</v>
      </c>
      <c r="F16" s="19">
        <f t="shared" si="0"/>
        <v>7.5273019570449764E-3</v>
      </c>
      <c r="G16" s="4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</row>
    <row r="17" spans="1:64" ht="15.75" customHeight="1">
      <c r="A17" s="16" t="str">
        <f>A114</f>
        <v>1.5. Vale-refeição (diário)</v>
      </c>
      <c r="B17" s="17"/>
      <c r="C17" s="7"/>
      <c r="D17" s="7"/>
      <c r="E17" s="18">
        <f>F119</f>
        <v>25853.62</v>
      </c>
      <c r="F17" s="19">
        <f t="shared" si="0"/>
        <v>2.5458207221322079E-2</v>
      </c>
      <c r="G17" s="4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</row>
    <row r="18" spans="1:64" ht="15.75" customHeight="1">
      <c r="A18" s="16" t="str">
        <f>A121</f>
        <v>1.6. Auxílio Alimentação (mensal)</v>
      </c>
      <c r="B18" s="17"/>
      <c r="C18" s="7"/>
      <c r="D18" s="7"/>
      <c r="E18" s="18">
        <f>F125</f>
        <v>1324.8000000000002</v>
      </c>
      <c r="F18" s="19">
        <f t="shared" si="0"/>
        <v>1.304538123744663E-3</v>
      </c>
      <c r="G18" s="4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</row>
    <row r="19" spans="1:64" ht="15.75" customHeight="1">
      <c r="A19" s="329" t="str">
        <f>A131</f>
        <v>2. Uniformes e Equipamentos de Proteção Individual</v>
      </c>
      <c r="B19" s="329"/>
      <c r="C19" s="329"/>
      <c r="D19" s="8"/>
      <c r="E19" s="12">
        <f>+F163</f>
        <v>16213.01</v>
      </c>
      <c r="F19" s="13">
        <f t="shared" si="0"/>
        <v>1.5965043512721509E-2</v>
      </c>
      <c r="G19" s="14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</row>
    <row r="20" spans="1:64" ht="15.75" customHeight="1">
      <c r="A20" s="20" t="str">
        <f>A165</f>
        <v>3. Veículos e Equipamentos</v>
      </c>
      <c r="B20" s="21"/>
      <c r="C20" s="8"/>
      <c r="D20" s="8"/>
      <c r="E20" s="12">
        <f>+F299</f>
        <v>161886.44648951964</v>
      </c>
      <c r="F20" s="13">
        <f t="shared" si="0"/>
        <v>0.15941050812434232</v>
      </c>
      <c r="G20" s="14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</row>
    <row r="21" spans="1:64" ht="15.75" customHeight="1">
      <c r="A21" s="22" t="str">
        <f>A167</f>
        <v>3.1. Veículo Coletor Compactador 12 m³</v>
      </c>
      <c r="B21" s="23"/>
      <c r="C21" s="7"/>
      <c r="D21" s="7"/>
      <c r="E21" s="18">
        <f>SUM(E22:E27)</f>
        <v>159770.17169798212</v>
      </c>
      <c r="F21" s="24">
        <f t="shared" si="0"/>
        <v>0.15732660025456538</v>
      </c>
      <c r="G21" s="4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</row>
    <row r="22" spans="1:64" ht="15.75" customHeight="1">
      <c r="A22" s="22" t="str">
        <f>A169</f>
        <v>3.1.1. Depreciação</v>
      </c>
      <c r="B22" s="23"/>
      <c r="C22" s="7"/>
      <c r="D22" s="7"/>
      <c r="E22" s="18">
        <f>F183</f>
        <v>26409.877639750004</v>
      </c>
      <c r="F22" s="24">
        <f t="shared" si="0"/>
        <v>2.6005957295052531E-2</v>
      </c>
      <c r="G22" s="4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</row>
    <row r="23" spans="1:64" ht="15.75" customHeight="1">
      <c r="A23" s="22" t="str">
        <f>A185</f>
        <v>3.1.2. Remuneração do Capital</v>
      </c>
      <c r="B23" s="23"/>
      <c r="C23" s="7"/>
      <c r="D23" s="7"/>
      <c r="E23" s="18">
        <f>F199</f>
        <v>21162.747915374996</v>
      </c>
      <c r="F23" s="24">
        <f t="shared" si="0"/>
        <v>2.0839078697769152E-2</v>
      </c>
      <c r="G23" s="4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</row>
    <row r="24" spans="1:64" ht="15.75" customHeight="1">
      <c r="A24" s="22" t="str">
        <f>A203</f>
        <v>3.1.3. Impostos e Seguros</v>
      </c>
      <c r="B24" s="23"/>
      <c r="C24" s="7"/>
      <c r="D24" s="7"/>
      <c r="E24" s="18">
        <f>F209</f>
        <v>4063.1237500000002</v>
      </c>
      <c r="F24" s="24">
        <f t="shared" si="0"/>
        <v>4.0009811544137819E-3</v>
      </c>
      <c r="G24" s="4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</row>
    <row r="25" spans="1:64" ht="15.75" customHeight="1">
      <c r="A25" s="22" t="str">
        <f>A211</f>
        <v>3.1.4. Consumos</v>
      </c>
      <c r="B25" s="23"/>
      <c r="C25" s="7"/>
      <c r="D25" s="7"/>
      <c r="E25" s="18">
        <f>F227</f>
        <v>75379.56525</v>
      </c>
      <c r="F25" s="24">
        <f t="shared" si="0"/>
        <v>7.4226688269869709E-2</v>
      </c>
      <c r="G25" s="4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</row>
    <row r="26" spans="1:64" ht="15.75" customHeight="1">
      <c r="A26" s="22" t="str">
        <f>A229</f>
        <v>3.1.5. Manutenção</v>
      </c>
      <c r="B26" s="23"/>
      <c r="C26" s="7"/>
      <c r="D26" s="7"/>
      <c r="E26" s="18">
        <f>F232</f>
        <v>25245</v>
      </c>
      <c r="F26" s="24">
        <f t="shared" si="0"/>
        <v>2.48588956324985E-2</v>
      </c>
      <c r="G26" s="4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</row>
    <row r="27" spans="1:64" ht="15.75" customHeight="1">
      <c r="A27" s="22" t="str">
        <f>A234</f>
        <v>3.1.6. Pneus</v>
      </c>
      <c r="B27" s="23"/>
      <c r="C27" s="7"/>
      <c r="D27" s="7"/>
      <c r="E27" s="18">
        <f>F241</f>
        <v>7509.8571428571422</v>
      </c>
      <c r="F27" s="24">
        <f t="shared" si="0"/>
        <v>7.3949992049617379E-3</v>
      </c>
      <c r="G27" s="4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</row>
    <row r="28" spans="1:64" ht="15.75" hidden="1" customHeight="1">
      <c r="A28" s="22" t="s">
        <v>5</v>
      </c>
      <c r="B28" s="23"/>
      <c r="C28" s="7"/>
      <c r="D28" s="7"/>
      <c r="E28" s="18">
        <f>SUM(E29:E34)</f>
        <v>0</v>
      </c>
      <c r="F28" s="24">
        <f t="shared" si="0"/>
        <v>0</v>
      </c>
      <c r="G28" s="4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</row>
    <row r="29" spans="1:64" ht="15.75" hidden="1" customHeight="1">
      <c r="A29" s="22" t="s">
        <v>6</v>
      </c>
      <c r="B29" s="23"/>
      <c r="C29" s="7"/>
      <c r="D29" s="7"/>
      <c r="E29" s="18">
        <f>F254</f>
        <v>0</v>
      </c>
      <c r="F29" s="24">
        <f t="shared" si="0"/>
        <v>0</v>
      </c>
      <c r="G29" s="4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</row>
    <row r="30" spans="1:64" ht="15.75" hidden="1" customHeight="1">
      <c r="A30" s="22" t="s">
        <v>7</v>
      </c>
      <c r="B30" s="23"/>
      <c r="C30" s="7"/>
      <c r="D30" s="7"/>
      <c r="E30" s="18">
        <f>F265</f>
        <v>0</v>
      </c>
      <c r="F30" s="24">
        <f t="shared" si="0"/>
        <v>0</v>
      </c>
      <c r="G30" s="4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</row>
    <row r="31" spans="1:64" ht="15.75" hidden="1" customHeight="1">
      <c r="A31" s="22" t="s">
        <v>8</v>
      </c>
      <c r="B31" s="23"/>
      <c r="C31" s="7"/>
      <c r="D31" s="7"/>
      <c r="E31" s="18">
        <f>F273</f>
        <v>0</v>
      </c>
      <c r="F31" s="24">
        <f t="shared" si="0"/>
        <v>0</v>
      </c>
      <c r="G31" s="4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</row>
    <row r="32" spans="1:64" ht="15.75" hidden="1" customHeight="1">
      <c r="A32" s="22" t="s">
        <v>9</v>
      </c>
      <c r="B32" s="23"/>
      <c r="C32" s="7"/>
      <c r="D32" s="7"/>
      <c r="E32" s="18">
        <f>F284</f>
        <v>0</v>
      </c>
      <c r="F32" s="24">
        <f t="shared" si="0"/>
        <v>0</v>
      </c>
      <c r="G32" s="4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</row>
    <row r="33" spans="1:64" ht="15.75" hidden="1" customHeight="1">
      <c r="A33" s="22" t="s">
        <v>10</v>
      </c>
      <c r="B33" s="23"/>
      <c r="C33" s="7"/>
      <c r="D33" s="7"/>
      <c r="E33" s="18">
        <f>F289</f>
        <v>0</v>
      </c>
      <c r="F33" s="24">
        <f t="shared" si="0"/>
        <v>0</v>
      </c>
      <c r="G33" s="4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</row>
    <row r="34" spans="1:64" ht="15.75" hidden="1" customHeight="1">
      <c r="A34" s="22" t="s">
        <v>11</v>
      </c>
      <c r="B34" s="23"/>
      <c r="C34" s="7"/>
      <c r="D34" s="7"/>
      <c r="E34" s="18">
        <f>F296</f>
        <v>0</v>
      </c>
      <c r="F34" s="24">
        <f t="shared" si="0"/>
        <v>0</v>
      </c>
      <c r="G34" s="4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</row>
    <row r="35" spans="1:64" ht="15.75" customHeight="1">
      <c r="A35" s="20" t="str">
        <f>A301</f>
        <v>4. Ferramentas e Materiais de Consumo</v>
      </c>
      <c r="B35" s="21"/>
      <c r="C35" s="8"/>
      <c r="D35" s="8"/>
      <c r="E35" s="12">
        <f>+F311</f>
        <v>94.224166666666704</v>
      </c>
      <c r="F35" s="13">
        <f t="shared" si="0"/>
        <v>9.2783074875254972E-5</v>
      </c>
      <c r="G35" s="14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</row>
    <row r="36" spans="1:64" ht="15.75" customHeight="1">
      <c r="A36" s="20" t="str">
        <f>A313</f>
        <v>5. Monitoramento da Frota</v>
      </c>
      <c r="B36" s="21"/>
      <c r="C36" s="8"/>
      <c r="D36" s="8"/>
      <c r="E36" s="12">
        <f>+F322</f>
        <v>457.5</v>
      </c>
      <c r="F36" s="13">
        <f t="shared" si="0"/>
        <v>4.5050286202685932E-4</v>
      </c>
      <c r="G36" s="14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</row>
    <row r="37" spans="1:64" ht="15.75" customHeight="1">
      <c r="A37" s="20" t="str">
        <f>A326</f>
        <v>6. Benefícios e Despesas Indiretas - BDI</v>
      </c>
      <c r="B37" s="21"/>
      <c r="C37" s="8"/>
      <c r="D37" s="8">
        <f>SUM(D35:D36,D9,D11,D13,D15,D17,D19,D21,D23,D25,D27,D29,D31,D33)+0.01</f>
        <v>0.01</v>
      </c>
      <c r="E37" s="12">
        <f>SUM(E9,E11,E13,E15,E17,E19,E21,E23,E25,E27,E29,E31,E33,E35)+0.01</f>
        <v>512447.14180547977</v>
      </c>
      <c r="F37" s="13">
        <f t="shared" si="0"/>
        <v>0.50460962627508732</v>
      </c>
      <c r="G37" s="14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</row>
    <row r="38" spans="1:64" ht="15.75" customHeight="1">
      <c r="A38" s="20" t="s">
        <v>12</v>
      </c>
      <c r="B38" s="21"/>
      <c r="C38" s="8"/>
      <c r="D38" s="8"/>
      <c r="E38" s="25">
        <f>E12+E19+E20+E35+E36+E37</f>
        <v>1015531.8391134294</v>
      </c>
      <c r="F38" s="26">
        <f>F12+F19+F20+F35+F36+F37</f>
        <v>1</v>
      </c>
      <c r="G38" s="4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</row>
    <row r="40" spans="1:64" ht="5.25" customHeight="1"/>
    <row r="41" spans="1:64" ht="15" customHeight="1">
      <c r="A41" s="328" t="s">
        <v>13</v>
      </c>
      <c r="B41" s="328"/>
      <c r="C41" s="328"/>
      <c r="D41" s="328"/>
      <c r="E41" s="328"/>
      <c r="G41" s="4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</row>
    <row r="42" spans="1:64" ht="15" customHeight="1">
      <c r="A42" s="330" t="s">
        <v>14</v>
      </c>
      <c r="B42" s="330"/>
      <c r="C42" s="330"/>
      <c r="D42" s="330"/>
      <c r="E42" s="27" t="s">
        <v>15</v>
      </c>
      <c r="G42" s="4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</row>
    <row r="43" spans="1:64" ht="15" customHeight="1">
      <c r="A43" s="28" t="str">
        <f>+A58</f>
        <v>1.1. Coletor Turno Dia</v>
      </c>
      <c r="B43" s="29"/>
      <c r="C43" s="29"/>
      <c r="D43" s="30"/>
      <c r="E43" s="31">
        <f>C68</f>
        <v>36</v>
      </c>
      <c r="G43" s="4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</row>
    <row r="44" spans="1:64" ht="15" customHeight="1">
      <c r="A44" s="28" t="str">
        <f>+A72</f>
        <v>1.2. Motorista Turno do Dia</v>
      </c>
      <c r="B44" s="29"/>
      <c r="C44" s="29"/>
      <c r="D44" s="30"/>
      <c r="E44" s="31">
        <f>C84</f>
        <v>12</v>
      </c>
      <c r="G44" s="4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</row>
    <row r="45" spans="1:64" ht="15" customHeight="1">
      <c r="A45" s="28" t="s">
        <v>363</v>
      </c>
      <c r="B45" s="29"/>
      <c r="C45" s="29"/>
      <c r="D45" s="30"/>
      <c r="E45" s="240">
        <v>1</v>
      </c>
      <c r="G45" s="4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</row>
    <row r="46" spans="1:64" ht="15" customHeight="1">
      <c r="A46" s="32" t="s">
        <v>16</v>
      </c>
      <c r="B46" s="33"/>
      <c r="C46" s="33"/>
      <c r="D46" s="34"/>
      <c r="E46" s="35">
        <f>SUM(E43:E45)</f>
        <v>49</v>
      </c>
      <c r="G46" s="4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</row>
    <row r="47" spans="1:64" ht="15" customHeight="1">
      <c r="A47" s="36"/>
      <c r="B47" s="37"/>
      <c r="C47" s="2"/>
      <c r="E47" s="38"/>
      <c r="G47" s="4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</row>
    <row r="48" spans="1:64" ht="15" customHeight="1">
      <c r="A48" s="325" t="s">
        <v>17</v>
      </c>
      <c r="B48" s="325"/>
      <c r="C48" s="325"/>
      <c r="D48" s="325"/>
      <c r="E48" s="27" t="s">
        <v>15</v>
      </c>
      <c r="F48" s="3"/>
      <c r="G48" s="4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</row>
    <row r="49" spans="1:64" ht="15" customHeight="1">
      <c r="A49" s="28" t="str">
        <f>+A167</f>
        <v>3.1. Veículo Coletor Compactador 12 m³</v>
      </c>
      <c r="B49" s="29"/>
      <c r="C49" s="29"/>
      <c r="D49" s="40"/>
      <c r="E49" s="31">
        <v>6</v>
      </c>
      <c r="F49" s="3"/>
      <c r="G49" s="4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</row>
    <row r="50" spans="1:64" ht="15" customHeight="1">
      <c r="A50" s="16" t="s">
        <v>396</v>
      </c>
      <c r="B50" s="29"/>
      <c r="C50" s="29"/>
      <c r="D50" s="40"/>
      <c r="E50" s="31">
        <v>1</v>
      </c>
      <c r="F50" s="3"/>
      <c r="G50" s="4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</row>
    <row r="51" spans="1:64" ht="15" hidden="1" customHeight="1">
      <c r="A51" s="28" t="s">
        <v>18</v>
      </c>
      <c r="B51" s="29"/>
      <c r="C51" s="29"/>
      <c r="D51" s="40"/>
      <c r="E51" s="31">
        <v>0</v>
      </c>
      <c r="F51" s="3"/>
      <c r="G51" s="4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</row>
    <row r="52" spans="1:64" ht="2.25" customHeight="1">
      <c r="A52" s="2"/>
      <c r="B52" s="2"/>
      <c r="C52" s="2"/>
      <c r="D52" s="3"/>
      <c r="E52" s="41"/>
      <c r="F52" s="3"/>
      <c r="G52" s="4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</row>
    <row r="53" spans="1:64">
      <c r="A53" s="2"/>
      <c r="B53" s="2"/>
      <c r="C53" s="2"/>
      <c r="D53" s="3"/>
      <c r="E53" s="42"/>
      <c r="F53" s="3"/>
      <c r="G53" s="4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</row>
    <row r="54" spans="1:64" ht="15.75" customHeight="1">
      <c r="A54" s="9" t="s">
        <v>19</v>
      </c>
      <c r="B54" s="43">
        <v>1</v>
      </c>
      <c r="C54" s="14"/>
      <c r="D54" s="15"/>
      <c r="E54" s="44"/>
      <c r="F54" s="15"/>
      <c r="G54" s="14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  <c r="BF54" s="15"/>
      <c r="BG54" s="15"/>
      <c r="BH54" s="15"/>
      <c r="BI54" s="15"/>
      <c r="BJ54" s="15"/>
      <c r="BK54" s="15"/>
      <c r="BL54" s="15"/>
    </row>
    <row r="55" spans="1:64" ht="10.5" customHeight="1">
      <c r="A55" s="2"/>
      <c r="B55" s="2"/>
      <c r="C55" s="2"/>
      <c r="D55" s="3"/>
      <c r="E55" s="42"/>
      <c r="F55" s="3"/>
      <c r="G55" s="4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</row>
    <row r="56" spans="1:64" ht="13.15" customHeight="1">
      <c r="A56" s="15" t="s">
        <v>20</v>
      </c>
    </row>
    <row r="57" spans="1:64" ht="8.25" customHeight="1"/>
    <row r="58" spans="1:64" ht="13.9" customHeight="1">
      <c r="A58" s="3" t="s">
        <v>21</v>
      </c>
    </row>
    <row r="59" spans="1:64" ht="13.9" customHeight="1">
      <c r="A59" s="45" t="s">
        <v>22</v>
      </c>
      <c r="B59" s="45" t="s">
        <v>23</v>
      </c>
      <c r="C59" s="45" t="s">
        <v>15</v>
      </c>
      <c r="D59" s="46" t="s">
        <v>24</v>
      </c>
      <c r="E59" s="46" t="s">
        <v>25</v>
      </c>
      <c r="F59" s="46" t="s">
        <v>26</v>
      </c>
    </row>
    <row r="60" spans="1:64" ht="13.15" customHeight="1">
      <c r="A60" s="47" t="s">
        <v>27</v>
      </c>
      <c r="B60" s="48" t="s">
        <v>28</v>
      </c>
      <c r="C60" s="48">
        <v>1</v>
      </c>
      <c r="D60" s="49">
        <v>2082.31</v>
      </c>
      <c r="E60" s="50">
        <f>C60*D60</f>
        <v>2082.31</v>
      </c>
    </row>
    <row r="61" spans="1:64">
      <c r="A61" s="51" t="s">
        <v>29</v>
      </c>
      <c r="B61" s="52" t="s">
        <v>30</v>
      </c>
      <c r="C61" s="267">
        <v>7.33</v>
      </c>
      <c r="D61" s="54">
        <f>D60/220*2</f>
        <v>18.930090909090907</v>
      </c>
      <c r="E61" s="54">
        <f>C61*D61</f>
        <v>138.75756636363636</v>
      </c>
      <c r="G61" s="2" t="s">
        <v>31</v>
      </c>
    </row>
    <row r="62" spans="1:64" ht="13.15" customHeight="1">
      <c r="A62" s="51" t="s">
        <v>32</v>
      </c>
      <c r="B62" s="52" t="s">
        <v>30</v>
      </c>
      <c r="C62" s="267">
        <v>7.33</v>
      </c>
      <c r="D62" s="54">
        <f>D60/220*1.5</f>
        <v>14.19756818181818</v>
      </c>
      <c r="E62" s="54">
        <f>C62*D62</f>
        <v>104.06817477272726</v>
      </c>
      <c r="G62" s="2" t="s">
        <v>33</v>
      </c>
    </row>
    <row r="63" spans="1:64" ht="13.15" customHeight="1">
      <c r="A63" s="51" t="s">
        <v>34</v>
      </c>
      <c r="B63" s="52" t="s">
        <v>35</v>
      </c>
      <c r="D63" s="54">
        <f>63/302*(SUM(E61:E62))</f>
        <v>50.655700965532809</v>
      </c>
      <c r="E63" s="54">
        <f>D63</f>
        <v>50.655700965532809</v>
      </c>
      <c r="G63" s="2" t="s">
        <v>36</v>
      </c>
    </row>
    <row r="64" spans="1:64">
      <c r="A64" s="51" t="s">
        <v>37</v>
      </c>
      <c r="B64" s="52" t="s">
        <v>4</v>
      </c>
      <c r="C64" s="52">
        <v>40</v>
      </c>
      <c r="D64" s="54">
        <f>SUM(E60:E63)</f>
        <v>2375.7914421018963</v>
      </c>
      <c r="E64" s="54">
        <f>C64*D64/100</f>
        <v>950.31657684075844</v>
      </c>
    </row>
    <row r="65" spans="1:64">
      <c r="A65" s="55" t="s">
        <v>38</v>
      </c>
      <c r="B65" s="56"/>
      <c r="C65" s="56"/>
      <c r="D65" s="57"/>
      <c r="E65" s="58">
        <f>SUM(E60:E64)</f>
        <v>3326.1080189426548</v>
      </c>
    </row>
    <row r="66" spans="1:64">
      <c r="A66" s="51" t="s">
        <v>39</v>
      </c>
      <c r="B66" s="52" t="s">
        <v>4</v>
      </c>
      <c r="C66" s="59">
        <f>'2_Encargos_Sociais'!$C$37*100</f>
        <v>70.595951999999997</v>
      </c>
      <c r="D66" s="54">
        <f>E65</f>
        <v>3326.1080189426548</v>
      </c>
      <c r="E66" s="54">
        <f>D66*C66/100</f>
        <v>2348.0976205209076</v>
      </c>
    </row>
    <row r="67" spans="1:64">
      <c r="A67" s="55" t="s">
        <v>40</v>
      </c>
      <c r="B67" s="56"/>
      <c r="C67" s="56"/>
      <c r="D67" s="57"/>
      <c r="E67" s="58">
        <f>E65+E66</f>
        <v>5674.205639463562</v>
      </c>
    </row>
    <row r="68" spans="1:64">
      <c r="A68" s="51" t="s">
        <v>41</v>
      </c>
      <c r="B68" s="52" t="s">
        <v>42</v>
      </c>
      <c r="C68" s="60">
        <v>36</v>
      </c>
      <c r="D68" s="54">
        <f>E67</f>
        <v>5674.205639463562</v>
      </c>
      <c r="E68" s="54">
        <f>C68*D68</f>
        <v>204271.40302068822</v>
      </c>
      <c r="G68" s="4"/>
    </row>
    <row r="69" spans="1:64" ht="13.9" customHeight="1">
      <c r="D69" s="61" t="s">
        <v>43</v>
      </c>
      <c r="E69" s="62">
        <f>$B$54</f>
        <v>1</v>
      </c>
      <c r="F69" s="63">
        <f>E68*E69</f>
        <v>204271.40302068822</v>
      </c>
      <c r="G69" s="4"/>
    </row>
    <row r="70" spans="1:64" ht="11.25" customHeight="1"/>
    <row r="71" spans="1:64" ht="4.5" customHeight="1"/>
    <row r="72" spans="1:64">
      <c r="A72" s="3" t="s">
        <v>281</v>
      </c>
    </row>
    <row r="73" spans="1:64" ht="13.15" customHeight="1">
      <c r="A73" s="45" t="s">
        <v>22</v>
      </c>
      <c r="B73" s="45" t="s">
        <v>23</v>
      </c>
      <c r="C73" s="45" t="s">
        <v>15</v>
      </c>
      <c r="D73" s="46" t="s">
        <v>24</v>
      </c>
      <c r="E73" s="46" t="s">
        <v>25</v>
      </c>
      <c r="F73" s="46" t="s">
        <v>26</v>
      </c>
      <c r="H73" s="64"/>
      <c r="I73" s="64"/>
      <c r="J73" s="64"/>
      <c r="K73" s="64"/>
      <c r="L73" s="64"/>
      <c r="M73" s="64"/>
      <c r="N73" s="64"/>
      <c r="O73" s="64"/>
      <c r="P73" s="64"/>
      <c r="Q73" s="64"/>
      <c r="R73" s="64"/>
      <c r="S73" s="64"/>
      <c r="T73" s="64"/>
      <c r="U73" s="64"/>
      <c r="V73" s="64"/>
      <c r="W73" s="64"/>
      <c r="X73" s="64"/>
      <c r="Y73" s="64"/>
      <c r="Z73" s="64"/>
      <c r="AA73" s="64"/>
      <c r="AB73" s="64"/>
      <c r="AC73" s="64"/>
      <c r="AD73" s="64"/>
      <c r="AE73" s="64"/>
      <c r="AF73" s="64"/>
      <c r="AG73" s="64"/>
      <c r="AH73" s="64"/>
      <c r="AI73" s="64"/>
      <c r="AJ73" s="64"/>
      <c r="AK73" s="64"/>
      <c r="AL73" s="64"/>
      <c r="AM73" s="64"/>
      <c r="AN73" s="64"/>
      <c r="AO73" s="64"/>
      <c r="AP73" s="64"/>
      <c r="AQ73" s="64"/>
      <c r="AR73" s="64"/>
      <c r="AS73" s="64"/>
      <c r="AT73" s="64"/>
      <c r="AU73" s="64"/>
      <c r="AV73" s="64"/>
      <c r="AW73" s="64"/>
      <c r="AX73" s="64"/>
      <c r="AY73" s="64"/>
      <c r="AZ73" s="64"/>
      <c r="BA73" s="64"/>
      <c r="BB73" s="64"/>
      <c r="BC73" s="64"/>
      <c r="BD73" s="64"/>
      <c r="BE73" s="64"/>
      <c r="BF73" s="64"/>
      <c r="BG73" s="64"/>
      <c r="BH73" s="64"/>
      <c r="BI73" s="64"/>
      <c r="BJ73" s="64"/>
      <c r="BK73" s="64"/>
      <c r="BL73" s="64"/>
    </row>
    <row r="74" spans="1:64">
      <c r="A74" s="47" t="s">
        <v>47</v>
      </c>
      <c r="B74" s="48" t="s">
        <v>28</v>
      </c>
      <c r="C74" s="48">
        <v>1</v>
      </c>
      <c r="D74" s="49">
        <v>2542.7600000000002</v>
      </c>
      <c r="E74" s="50">
        <f>C74*D74</f>
        <v>2542.7600000000002</v>
      </c>
    </row>
    <row r="75" spans="1:64">
      <c r="A75" s="47" t="s">
        <v>48</v>
      </c>
      <c r="B75" s="48" t="s">
        <v>28</v>
      </c>
      <c r="C75" s="48">
        <v>1</v>
      </c>
      <c r="D75" s="49">
        <v>1412</v>
      </c>
      <c r="E75" s="50"/>
    </row>
    <row r="76" spans="1:64">
      <c r="A76" s="51" t="s">
        <v>29</v>
      </c>
      <c r="B76" s="52" t="s">
        <v>30</v>
      </c>
      <c r="C76" s="267">
        <v>7.33</v>
      </c>
      <c r="D76" s="54">
        <f>D74/220*2</f>
        <v>23.116000000000003</v>
      </c>
      <c r="E76" s="54">
        <f>C76*D76</f>
        <v>169.44028000000003</v>
      </c>
      <c r="G76" s="2" t="s">
        <v>31</v>
      </c>
    </row>
    <row r="77" spans="1:64">
      <c r="A77" s="51" t="s">
        <v>32</v>
      </c>
      <c r="B77" s="52" t="s">
        <v>30</v>
      </c>
      <c r="C77" s="267">
        <v>7.33</v>
      </c>
      <c r="D77" s="54">
        <f>D74/220*1.5</f>
        <v>17.337000000000003</v>
      </c>
      <c r="E77" s="54">
        <f>C77*D77</f>
        <v>127.08021000000002</v>
      </c>
      <c r="G77" s="2" t="s">
        <v>33</v>
      </c>
    </row>
    <row r="78" spans="1:64" ht="13.15" customHeight="1">
      <c r="A78" s="51" t="s">
        <v>34</v>
      </c>
      <c r="B78" s="52" t="s">
        <v>35</v>
      </c>
      <c r="D78" s="54">
        <f>63/302*(SUM(E76:E77))</f>
        <v>61.856923410596039</v>
      </c>
      <c r="E78" s="54">
        <f>D78</f>
        <v>61.856923410596039</v>
      </c>
      <c r="G78" s="2" t="s">
        <v>36</v>
      </c>
    </row>
    <row r="79" spans="1:64">
      <c r="A79" s="51" t="s">
        <v>49</v>
      </c>
      <c r="B79" s="52"/>
      <c r="C79" s="65">
        <v>2</v>
      </c>
      <c r="D79" s="54"/>
      <c r="E79" s="54"/>
    </row>
    <row r="80" spans="1:64">
      <c r="A80" s="51" t="s">
        <v>37</v>
      </c>
      <c r="B80" s="52" t="s">
        <v>4</v>
      </c>
      <c r="C80" s="60">
        <v>40</v>
      </c>
      <c r="D80" s="54">
        <f>IF(C79=2,SUM(E74:E78),IF(C79=1,(SUM(E74:E78))*D75/D74,0))</f>
        <v>2901.1374134105963</v>
      </c>
      <c r="E80" s="54">
        <f>C80*D80/100</f>
        <v>1160.4549653642387</v>
      </c>
    </row>
    <row r="81" spans="1:64">
      <c r="A81" s="66" t="s">
        <v>38</v>
      </c>
      <c r="B81" s="56"/>
      <c r="C81" s="56"/>
      <c r="D81" s="57"/>
      <c r="E81" s="10">
        <f>SUM(E74:E80)</f>
        <v>4061.5923787748352</v>
      </c>
      <c r="F81" s="14"/>
      <c r="G81" s="14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  <c r="AH81" s="15"/>
      <c r="AI81" s="15"/>
      <c r="AJ81" s="15"/>
      <c r="AK81" s="15"/>
      <c r="AL81" s="15"/>
      <c r="AM81" s="15"/>
      <c r="AN81" s="15"/>
      <c r="AO81" s="15"/>
      <c r="AP81" s="15"/>
      <c r="AQ81" s="15"/>
      <c r="AR81" s="15"/>
      <c r="AS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  <c r="BF81" s="15"/>
      <c r="BG81" s="15"/>
      <c r="BH81" s="15"/>
      <c r="BI81" s="15"/>
      <c r="BJ81" s="15"/>
      <c r="BK81" s="15"/>
      <c r="BL81" s="15"/>
    </row>
    <row r="82" spans="1:64">
      <c r="A82" s="51" t="s">
        <v>39</v>
      </c>
      <c r="B82" s="52" t="s">
        <v>4</v>
      </c>
      <c r="C82" s="59">
        <f>'2_Encargos_Sociais'!$C$37*100</f>
        <v>70.595951999999997</v>
      </c>
      <c r="D82" s="54">
        <f>E81</f>
        <v>4061.5923787748352</v>
      </c>
      <c r="E82" s="54">
        <f>D82*C82/100</f>
        <v>2867.3198061555408</v>
      </c>
    </row>
    <row r="83" spans="1:64">
      <c r="A83" s="66" t="s">
        <v>50</v>
      </c>
      <c r="B83" s="67"/>
      <c r="C83" s="67"/>
      <c r="D83" s="68"/>
      <c r="E83" s="10">
        <f>E81+E82</f>
        <v>6928.9121849303756</v>
      </c>
      <c r="F83" s="14"/>
      <c r="G83" s="14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  <c r="AH83" s="15"/>
      <c r="AI83" s="15"/>
      <c r="AJ83" s="15"/>
      <c r="AK83" s="15"/>
      <c r="AL83" s="15"/>
      <c r="AM83" s="15"/>
      <c r="AN83" s="15"/>
      <c r="AO83" s="15"/>
      <c r="AP83" s="15"/>
      <c r="AQ83" s="15"/>
      <c r="AR83" s="15"/>
      <c r="AS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  <c r="BF83" s="15"/>
      <c r="BG83" s="15"/>
      <c r="BH83" s="15"/>
      <c r="BI83" s="15"/>
      <c r="BJ83" s="15"/>
      <c r="BK83" s="15"/>
      <c r="BL83" s="15"/>
    </row>
    <row r="84" spans="1:64">
      <c r="A84" s="51" t="s">
        <v>41</v>
      </c>
      <c r="B84" s="52" t="s">
        <v>42</v>
      </c>
      <c r="C84" s="60">
        <v>12</v>
      </c>
      <c r="D84" s="54">
        <f>E83</f>
        <v>6928.9121849303756</v>
      </c>
      <c r="E84" s="54">
        <f>C84*D84</f>
        <v>83146.9462191645</v>
      </c>
    </row>
    <row r="85" spans="1:64">
      <c r="D85" s="61" t="s">
        <v>43</v>
      </c>
      <c r="E85" s="62">
        <f>$B$54</f>
        <v>1</v>
      </c>
      <c r="F85" s="63">
        <f>E84*E85</f>
        <v>83146.9462191645</v>
      </c>
    </row>
    <row r="86" spans="1:64" ht="6.75" customHeight="1"/>
    <row r="87" spans="1:64" ht="11.25" customHeight="1">
      <c r="G87" s="3"/>
    </row>
    <row r="88" spans="1:64" ht="11.25" customHeight="1">
      <c r="A88" s="3" t="s">
        <v>363</v>
      </c>
      <c r="G88" s="3"/>
    </row>
    <row r="89" spans="1:64" ht="11.25" customHeight="1">
      <c r="A89" s="45" t="s">
        <v>22</v>
      </c>
      <c r="B89" s="45" t="s">
        <v>23</v>
      </c>
      <c r="C89" s="45" t="s">
        <v>15</v>
      </c>
      <c r="D89" s="46" t="s">
        <v>24</v>
      </c>
      <c r="E89" s="46" t="s">
        <v>25</v>
      </c>
      <c r="F89" s="46" t="s">
        <v>26</v>
      </c>
      <c r="G89" s="3"/>
    </row>
    <row r="90" spans="1:64" ht="11.25" customHeight="1">
      <c r="A90" s="47" t="s">
        <v>47</v>
      </c>
      <c r="B90" s="48" t="s">
        <v>28</v>
      </c>
      <c r="C90" s="48">
        <v>1</v>
      </c>
      <c r="D90" s="50">
        <v>9180.14</v>
      </c>
      <c r="E90" s="50">
        <f>C90*D90</f>
        <v>9180.14</v>
      </c>
      <c r="G90" s="3"/>
    </row>
    <row r="91" spans="1:64" ht="11.25" hidden="1" customHeight="1">
      <c r="A91" s="47" t="s">
        <v>48</v>
      </c>
      <c r="B91" s="48" t="s">
        <v>28</v>
      </c>
      <c r="C91" s="48">
        <v>0</v>
      </c>
      <c r="D91" s="54">
        <v>1518</v>
      </c>
      <c r="E91" s="54"/>
      <c r="G91" s="3"/>
    </row>
    <row r="92" spans="1:64" ht="11.25" hidden="1" customHeight="1">
      <c r="A92" s="51" t="s">
        <v>44</v>
      </c>
      <c r="B92" s="52" t="s">
        <v>45</v>
      </c>
      <c r="C92" s="53">
        <v>0</v>
      </c>
      <c r="D92" s="51"/>
      <c r="E92" s="51"/>
      <c r="G92" s="3"/>
    </row>
    <row r="93" spans="1:64" ht="11.25" hidden="1" customHeight="1">
      <c r="A93" s="51"/>
      <c r="B93" s="52" t="s">
        <v>46</v>
      </c>
      <c r="C93" s="54">
        <f>C92*8/7</f>
        <v>0</v>
      </c>
      <c r="D93" s="54">
        <f>D90/220*0.2</f>
        <v>8.3455818181818184</v>
      </c>
      <c r="E93" s="54">
        <f>C93*D93</f>
        <v>0</v>
      </c>
      <c r="G93" s="3"/>
    </row>
    <row r="94" spans="1:64" ht="11.25" hidden="1" customHeight="1">
      <c r="A94" s="51" t="s">
        <v>29</v>
      </c>
      <c r="B94" s="52" t="s">
        <v>30</v>
      </c>
      <c r="C94" s="53">
        <v>0</v>
      </c>
      <c r="D94" s="54">
        <f>D90/220*2</f>
        <v>83.455818181818174</v>
      </c>
      <c r="E94" s="54">
        <f>C94*D94</f>
        <v>0</v>
      </c>
      <c r="G94" s="3"/>
    </row>
    <row r="95" spans="1:64" ht="11.25" hidden="1" customHeight="1">
      <c r="A95" s="51" t="s">
        <v>32</v>
      </c>
      <c r="B95" s="52" t="s">
        <v>30</v>
      </c>
      <c r="C95" s="53">
        <v>0</v>
      </c>
      <c r="D95" s="54">
        <f>D90/220*1.5</f>
        <v>62.591863636363627</v>
      </c>
      <c r="E95" s="54">
        <f>C95*D95</f>
        <v>0</v>
      </c>
      <c r="G95" s="3"/>
    </row>
    <row r="96" spans="1:64" ht="11.25" hidden="1" customHeight="1">
      <c r="A96" s="51" t="s">
        <v>34</v>
      </c>
      <c r="B96" s="52" t="s">
        <v>35</v>
      </c>
      <c r="D96" s="54">
        <f>63/302*(SUM(E94:E95))</f>
        <v>0</v>
      </c>
      <c r="E96" s="54">
        <f>D96</f>
        <v>0</v>
      </c>
      <c r="G96" s="3"/>
    </row>
    <row r="97" spans="1:7" ht="11.25" customHeight="1">
      <c r="A97" s="51" t="s">
        <v>49</v>
      </c>
      <c r="B97" s="52"/>
      <c r="C97" s="65">
        <v>2</v>
      </c>
      <c r="D97" s="54"/>
      <c r="E97" s="54"/>
      <c r="G97" s="3"/>
    </row>
    <row r="98" spans="1:7" ht="11.25" customHeight="1">
      <c r="A98" s="51" t="s">
        <v>37</v>
      </c>
      <c r="B98" s="52" t="s">
        <v>4</v>
      </c>
      <c r="C98" s="54">
        <v>40</v>
      </c>
      <c r="D98" s="54">
        <f>IF(C97=2,SUM(E90:E96),IF(C97=1,SUM(E90:E96)*D91/D90,0))</f>
        <v>9180.14</v>
      </c>
      <c r="E98" s="54">
        <f>C98*D98/100</f>
        <v>3672.0559999999996</v>
      </c>
      <c r="G98" s="3"/>
    </row>
    <row r="99" spans="1:7" ht="11.25" customHeight="1">
      <c r="A99" s="55" t="s">
        <v>38</v>
      </c>
      <c r="B99" s="56"/>
      <c r="C99" s="56"/>
      <c r="D99" s="57"/>
      <c r="E99" s="58">
        <f>SUM(E90:E98)</f>
        <v>12852.196</v>
      </c>
      <c r="F99" s="14"/>
      <c r="G99" s="3"/>
    </row>
    <row r="100" spans="1:7" ht="11.25" customHeight="1">
      <c r="A100" s="51" t="s">
        <v>39</v>
      </c>
      <c r="B100" s="52" t="s">
        <v>4</v>
      </c>
      <c r="C100" s="59">
        <f>'2_Encargos_Sociais'!$C$37*100</f>
        <v>70.595951999999997</v>
      </c>
      <c r="D100" s="54">
        <f>E99</f>
        <v>12852.196</v>
      </c>
      <c r="E100" s="54">
        <f>D100*C100/100</f>
        <v>9073.1301191059192</v>
      </c>
      <c r="G100" s="3"/>
    </row>
    <row r="101" spans="1:7" ht="11.25" customHeight="1">
      <c r="A101" s="55" t="s">
        <v>51</v>
      </c>
      <c r="B101" s="56"/>
      <c r="C101" s="56"/>
      <c r="D101" s="57"/>
      <c r="E101" s="58">
        <f>E99+E100</f>
        <v>21925.326119105921</v>
      </c>
      <c r="F101" s="14"/>
      <c r="G101" s="3"/>
    </row>
    <row r="102" spans="1:7" ht="11.25" customHeight="1">
      <c r="A102" s="51" t="s">
        <v>41</v>
      </c>
      <c r="B102" s="52" t="s">
        <v>42</v>
      </c>
      <c r="C102" s="60">
        <v>1</v>
      </c>
      <c r="D102" s="54">
        <f>E101</f>
        <v>21925.326119105921</v>
      </c>
      <c r="E102" s="54">
        <f>C102*D102</f>
        <v>21925.326119105921</v>
      </c>
      <c r="G102" s="3"/>
    </row>
    <row r="103" spans="1:7" ht="11.25" customHeight="1">
      <c r="D103" s="61" t="s">
        <v>43</v>
      </c>
      <c r="E103" s="276">
        <v>0.1</v>
      </c>
      <c r="F103" s="63">
        <f>E102*E103</f>
        <v>2192.5326119105921</v>
      </c>
      <c r="G103" s="3"/>
    </row>
    <row r="104" spans="1:7" ht="9" customHeight="1">
      <c r="A104"/>
      <c r="B104" s="69"/>
      <c r="D104" s="3"/>
      <c r="E104" s="3"/>
      <c r="G104" s="3"/>
    </row>
    <row r="105" spans="1:7">
      <c r="A105" s="3" t="s">
        <v>283</v>
      </c>
      <c r="B105" s="69"/>
      <c r="D105" s="3"/>
      <c r="E105" s="3"/>
      <c r="G105" s="3"/>
    </row>
    <row r="106" spans="1:7">
      <c r="A106" s="45" t="s">
        <v>22</v>
      </c>
      <c r="B106" s="45" t="s">
        <v>23</v>
      </c>
      <c r="C106" s="45" t="s">
        <v>15</v>
      </c>
      <c r="D106" s="46">
        <v>4.7</v>
      </c>
      <c r="E106" s="46" t="s">
        <v>25</v>
      </c>
      <c r="F106" s="46" t="s">
        <v>26</v>
      </c>
      <c r="G106" s="3"/>
    </row>
    <row r="107" spans="1:7">
      <c r="A107" s="51" t="s">
        <v>52</v>
      </c>
      <c r="B107" s="52" t="s">
        <v>35</v>
      </c>
      <c r="C107" s="70">
        <v>1</v>
      </c>
      <c r="D107" s="71">
        <v>5.7</v>
      </c>
      <c r="E107" s="54"/>
      <c r="G107" s="3"/>
    </row>
    <row r="108" spans="1:7">
      <c r="A108" s="51" t="s">
        <v>53</v>
      </c>
      <c r="B108" s="52" t="s">
        <v>54</v>
      </c>
      <c r="C108" s="73">
        <v>26</v>
      </c>
      <c r="D108" s="54"/>
      <c r="E108" s="54"/>
      <c r="G108" s="3"/>
    </row>
    <row r="109" spans="1:7">
      <c r="A109" s="51" t="s">
        <v>55</v>
      </c>
      <c r="B109" s="52" t="s">
        <v>56</v>
      </c>
      <c r="C109" s="74">
        <f>$C$108*2*(C68)</f>
        <v>1872</v>
      </c>
      <c r="D109" s="50">
        <f>IFERROR((($C$108*2*$D$107)-(E60*0.06*C108/26))/($C$108*2),"-")</f>
        <v>3.2973346153846164</v>
      </c>
      <c r="E109" s="54">
        <f>IFERROR(C109*D109,"-")</f>
        <v>6172.6104000000014</v>
      </c>
      <c r="G109" s="3"/>
    </row>
    <row r="110" spans="1:7">
      <c r="A110" s="47" t="s">
        <v>57</v>
      </c>
      <c r="B110" s="48" t="s">
        <v>56</v>
      </c>
      <c r="C110" s="74">
        <f>$C$108*2*(C84)</f>
        <v>624</v>
      </c>
      <c r="D110" s="50">
        <f>IFERROR((($C$108*2*$D$107)-(E74*0.06*C108/26))/($C$108*2),"-")</f>
        <v>2.7660461538461543</v>
      </c>
      <c r="E110" s="50">
        <f>IFERROR(C110*D110,"-")</f>
        <v>1726.0128000000002</v>
      </c>
      <c r="G110" s="3"/>
    </row>
    <row r="111" spans="1:7">
      <c r="A111" s="47" t="s">
        <v>364</v>
      </c>
      <c r="B111" s="48" t="s">
        <v>56</v>
      </c>
      <c r="C111" s="74">
        <v>52</v>
      </c>
      <c r="D111" s="50">
        <f>IFERROR((($C$108*2*$D$107)-(E90*0.06*C108/26))/($C$108*2),"-")</f>
        <v>-4.8924692307692279</v>
      </c>
      <c r="E111" s="50">
        <f>IFERROR(C111*D111,"-")</f>
        <v>-254.40839999999986</v>
      </c>
      <c r="G111" s="3"/>
    </row>
    <row r="112" spans="1:7">
      <c r="F112" s="75">
        <f>SUM(E109:E111)</f>
        <v>7644.2148000000016</v>
      </c>
      <c r="G112" s="3"/>
    </row>
    <row r="113" spans="1:7" ht="6" customHeight="1">
      <c r="G113" s="3"/>
    </row>
    <row r="114" spans="1:7">
      <c r="A114" s="3" t="s">
        <v>284</v>
      </c>
      <c r="F114" s="14"/>
      <c r="G114" s="3"/>
    </row>
    <row r="115" spans="1:7">
      <c r="A115" s="45" t="s">
        <v>22</v>
      </c>
      <c r="B115" s="45" t="s">
        <v>23</v>
      </c>
      <c r="C115" s="45" t="s">
        <v>15</v>
      </c>
      <c r="D115" s="46" t="s">
        <v>24</v>
      </c>
      <c r="E115" s="46" t="s">
        <v>25</v>
      </c>
      <c r="F115" s="46" t="s">
        <v>26</v>
      </c>
      <c r="G115" s="3"/>
    </row>
    <row r="116" spans="1:7">
      <c r="A116" s="51" t="str">
        <f>+A109</f>
        <v>Coletor</v>
      </c>
      <c r="B116" s="52" t="s">
        <v>59</v>
      </c>
      <c r="C116" s="74">
        <f>C108*(E43)</f>
        <v>936</v>
      </c>
      <c r="D116" s="76">
        <v>20.59</v>
      </c>
      <c r="E116" s="62">
        <f>C116*D116</f>
        <v>19272.240000000002</v>
      </c>
      <c r="F116" s="14"/>
      <c r="G116" s="3"/>
    </row>
    <row r="117" spans="1:7">
      <c r="A117" s="51" t="str">
        <f>+A110</f>
        <v>Motorista</v>
      </c>
      <c r="B117" s="52" t="s">
        <v>59</v>
      </c>
      <c r="C117" s="74">
        <f>C108*(E44)</f>
        <v>312</v>
      </c>
      <c r="D117" s="76">
        <v>15.2</v>
      </c>
      <c r="E117" s="62">
        <f>C117*D117</f>
        <v>4742.3999999999996</v>
      </c>
      <c r="F117" s="14"/>
      <c r="G117" s="3"/>
    </row>
    <row r="118" spans="1:7">
      <c r="A118" s="51" t="str">
        <f>+A111</f>
        <v>Responsável Técnico</v>
      </c>
      <c r="B118" s="52" t="s">
        <v>59</v>
      </c>
      <c r="C118" s="74">
        <v>26</v>
      </c>
      <c r="D118" s="76">
        <v>70.73</v>
      </c>
      <c r="E118" s="62">
        <f>C118*D118</f>
        <v>1838.98</v>
      </c>
      <c r="F118" s="14"/>
      <c r="G118" s="3"/>
    </row>
    <row r="119" spans="1:7">
      <c r="F119" s="75">
        <f>SUM(E116:E118)</f>
        <v>25853.62</v>
      </c>
      <c r="G119" s="3"/>
    </row>
    <row r="120" spans="1:7">
      <c r="G120" s="3"/>
    </row>
    <row r="121" spans="1:7">
      <c r="A121" s="3" t="s">
        <v>285</v>
      </c>
      <c r="F121" s="14"/>
      <c r="G121" s="3"/>
    </row>
    <row r="122" spans="1:7">
      <c r="A122" s="45" t="s">
        <v>22</v>
      </c>
      <c r="B122" s="45" t="s">
        <v>23</v>
      </c>
      <c r="C122" s="45" t="s">
        <v>15</v>
      </c>
      <c r="D122" s="46" t="s">
        <v>24</v>
      </c>
      <c r="E122" s="46" t="s">
        <v>25</v>
      </c>
      <c r="F122" s="46" t="s">
        <v>26</v>
      </c>
      <c r="G122" s="3"/>
    </row>
    <row r="123" spans="1:7">
      <c r="A123" s="51" t="str">
        <f>+A116</f>
        <v>Coletor</v>
      </c>
      <c r="B123" s="52" t="s">
        <v>59</v>
      </c>
      <c r="C123" s="74">
        <v>36</v>
      </c>
      <c r="D123" s="76">
        <v>0</v>
      </c>
      <c r="E123" s="62">
        <f>C123*D123</f>
        <v>0</v>
      </c>
      <c r="F123" s="14"/>
      <c r="G123" s="3"/>
    </row>
    <row r="124" spans="1:7">
      <c r="A124" s="51" t="str">
        <f>+A117</f>
        <v>Motorista</v>
      </c>
      <c r="B124" s="52" t="s">
        <v>59</v>
      </c>
      <c r="C124" s="74">
        <v>12</v>
      </c>
      <c r="D124" s="76">
        <v>110.4</v>
      </c>
      <c r="E124" s="62">
        <f>C124*D124</f>
        <v>1324.8000000000002</v>
      </c>
      <c r="F124" s="14"/>
      <c r="G124" s="3"/>
    </row>
    <row r="125" spans="1:7">
      <c r="D125" s="61" t="s">
        <v>43</v>
      </c>
      <c r="E125" s="62">
        <f>$B$54</f>
        <v>1</v>
      </c>
      <c r="F125" s="75">
        <f>SUM(E123:E124)*E125</f>
        <v>1324.8000000000002</v>
      </c>
      <c r="G125" s="3"/>
    </row>
    <row r="126" spans="1:7">
      <c r="A126" s="331" t="s">
        <v>280</v>
      </c>
      <c r="B126" s="332"/>
      <c r="C126" s="332"/>
      <c r="D126" s="332"/>
      <c r="E126" s="332"/>
      <c r="F126" s="332"/>
      <c r="G126" s="3"/>
    </row>
    <row r="127" spans="1:7" ht="3.75" customHeight="1">
      <c r="G127" s="3"/>
    </row>
    <row r="128" spans="1:7">
      <c r="G128" s="3"/>
    </row>
    <row r="129" spans="1:64">
      <c r="A129" s="77" t="s">
        <v>60</v>
      </c>
      <c r="B129" s="78"/>
      <c r="C129" s="78"/>
      <c r="D129" s="8"/>
      <c r="E129" s="79"/>
      <c r="F129" s="75">
        <f>F125+F119+F112+F85+F69+F103</f>
        <v>324433.51665176335</v>
      </c>
      <c r="G129" s="3"/>
    </row>
    <row r="130" spans="1:64" ht="9" customHeight="1"/>
    <row r="131" spans="1:64">
      <c r="A131" s="15" t="s">
        <v>61</v>
      </c>
      <c r="G131" s="3"/>
    </row>
    <row r="132" spans="1:64" ht="7.5" customHeight="1">
      <c r="G132" s="3"/>
    </row>
    <row r="133" spans="1:64" ht="13.9" customHeight="1">
      <c r="A133" s="3" t="s">
        <v>62</v>
      </c>
      <c r="G133" s="3"/>
    </row>
    <row r="134" spans="1:64" ht="6" customHeight="1">
      <c r="G134" s="3"/>
    </row>
    <row r="135" spans="1:64" ht="27.75" customHeight="1">
      <c r="A135" s="45" t="s">
        <v>22</v>
      </c>
      <c r="B135" s="45" t="s">
        <v>23</v>
      </c>
      <c r="C135" s="80" t="s">
        <v>63</v>
      </c>
      <c r="D135" s="46" t="s">
        <v>24</v>
      </c>
      <c r="E135" s="46" t="s">
        <v>25</v>
      </c>
      <c r="F135" s="46" t="s">
        <v>26</v>
      </c>
      <c r="G135" s="3"/>
    </row>
    <row r="136" spans="1:64" ht="13.15" customHeight="1">
      <c r="A136" s="51" t="s">
        <v>362</v>
      </c>
      <c r="B136" s="52" t="s">
        <v>59</v>
      </c>
      <c r="C136" s="81">
        <v>6</v>
      </c>
      <c r="D136" s="49">
        <v>78.900000000000006</v>
      </c>
      <c r="E136" s="50">
        <f t="shared" ref="E136:E145" si="1">IFERROR(D136/C136,0)</f>
        <v>13.15</v>
      </c>
      <c r="G136" s="3"/>
    </row>
    <row r="137" spans="1:64" ht="13.15" customHeight="1">
      <c r="A137" s="51" t="s">
        <v>64</v>
      </c>
      <c r="B137" s="52" t="s">
        <v>59</v>
      </c>
      <c r="C137" s="81">
        <v>3</v>
      </c>
      <c r="D137" s="49">
        <v>59.26</v>
      </c>
      <c r="E137" s="50">
        <f t="shared" ref="E137" si="2">IFERROR(D137/C137,0)</f>
        <v>19.753333333333334</v>
      </c>
      <c r="G137" s="3"/>
    </row>
    <row r="138" spans="1:64">
      <c r="A138" s="51" t="s">
        <v>65</v>
      </c>
      <c r="B138" s="52" t="s">
        <v>59</v>
      </c>
      <c r="C138" s="81">
        <v>1</v>
      </c>
      <c r="D138" s="49">
        <v>43.26</v>
      </c>
      <c r="E138" s="50">
        <f t="shared" si="1"/>
        <v>43.26</v>
      </c>
      <c r="G138" s="3"/>
    </row>
    <row r="139" spans="1:64" ht="13.15" customHeight="1">
      <c r="A139" s="51" t="s">
        <v>66</v>
      </c>
      <c r="B139" s="52" t="s">
        <v>59</v>
      </c>
      <c r="C139" s="81">
        <v>2</v>
      </c>
      <c r="D139" s="49">
        <v>34.69</v>
      </c>
      <c r="E139" s="50">
        <f t="shared" si="1"/>
        <v>17.344999999999999</v>
      </c>
      <c r="G139" s="3"/>
    </row>
    <row r="140" spans="1:64" ht="13.9" customHeight="1">
      <c r="A140" s="51" t="s">
        <v>67</v>
      </c>
      <c r="B140" s="52" t="s">
        <v>68</v>
      </c>
      <c r="C140" s="81">
        <v>1</v>
      </c>
      <c r="D140" s="49">
        <v>88.69</v>
      </c>
      <c r="E140" s="50">
        <f t="shared" si="1"/>
        <v>88.69</v>
      </c>
      <c r="G140" s="3"/>
    </row>
    <row r="141" spans="1:64" ht="13.15" customHeight="1">
      <c r="A141" s="51" t="s">
        <v>69</v>
      </c>
      <c r="B141" s="52" t="s">
        <v>68</v>
      </c>
      <c r="C141" s="81">
        <v>6</v>
      </c>
      <c r="D141" s="49">
        <v>20.329999999999998</v>
      </c>
      <c r="E141" s="50">
        <f t="shared" si="1"/>
        <v>3.3883333333333332</v>
      </c>
    </row>
    <row r="142" spans="1:64">
      <c r="A142" s="51" t="s">
        <v>70</v>
      </c>
      <c r="B142" s="52" t="s">
        <v>59</v>
      </c>
      <c r="C142" s="81">
        <v>6</v>
      </c>
      <c r="D142" s="49">
        <v>67.62</v>
      </c>
      <c r="E142" s="50">
        <f t="shared" si="1"/>
        <v>11.270000000000001</v>
      </c>
    </row>
    <row r="143" spans="1:64">
      <c r="A143" s="82" t="s">
        <v>71</v>
      </c>
      <c r="B143" s="83" t="s">
        <v>59</v>
      </c>
      <c r="C143" s="81">
        <v>1</v>
      </c>
      <c r="D143" s="49">
        <v>23.33</v>
      </c>
      <c r="E143" s="50">
        <f t="shared" si="1"/>
        <v>23.33</v>
      </c>
      <c r="F143" s="84"/>
      <c r="G143" s="84"/>
      <c r="H143" s="85"/>
      <c r="I143" s="85"/>
      <c r="J143" s="85"/>
      <c r="K143" s="85"/>
      <c r="L143" s="85"/>
      <c r="M143" s="85"/>
      <c r="N143" s="85"/>
      <c r="O143" s="85"/>
      <c r="P143" s="85"/>
      <c r="Q143" s="85"/>
      <c r="R143" s="85"/>
      <c r="S143" s="85"/>
      <c r="T143" s="85"/>
      <c r="U143" s="85"/>
      <c r="V143" s="85"/>
      <c r="W143" s="85"/>
      <c r="X143" s="85"/>
      <c r="Y143" s="85"/>
      <c r="Z143" s="85"/>
      <c r="AA143" s="85"/>
      <c r="AB143" s="85"/>
      <c r="AC143" s="85"/>
      <c r="AD143" s="85"/>
      <c r="AE143" s="85"/>
      <c r="AF143" s="85"/>
      <c r="AG143" s="85"/>
      <c r="AH143" s="85"/>
      <c r="AI143" s="85"/>
      <c r="AJ143" s="85"/>
      <c r="AK143" s="85"/>
      <c r="AL143" s="85"/>
      <c r="AM143" s="85"/>
      <c r="AN143" s="85"/>
      <c r="AO143" s="85"/>
      <c r="AP143" s="85"/>
      <c r="AQ143" s="85"/>
      <c r="AR143" s="85"/>
      <c r="AS143" s="85"/>
      <c r="AT143" s="85"/>
      <c r="AU143" s="85"/>
      <c r="AV143" s="85"/>
      <c r="AW143" s="85"/>
      <c r="AX143" s="85"/>
      <c r="AY143" s="85"/>
      <c r="AZ143" s="85"/>
      <c r="BA143" s="85"/>
      <c r="BB143" s="85"/>
      <c r="BC143" s="85"/>
      <c r="BD143" s="85"/>
      <c r="BE143" s="85"/>
      <c r="BF143" s="85"/>
      <c r="BG143" s="85"/>
      <c r="BH143" s="85"/>
      <c r="BI143" s="85"/>
      <c r="BJ143" s="85"/>
      <c r="BK143" s="85"/>
      <c r="BL143" s="85"/>
    </row>
    <row r="144" spans="1:64">
      <c r="A144" s="51" t="s">
        <v>72</v>
      </c>
      <c r="B144" s="52" t="s">
        <v>68</v>
      </c>
      <c r="C144" s="81">
        <v>3</v>
      </c>
      <c r="D144" s="49">
        <v>10.57</v>
      </c>
      <c r="E144" s="50">
        <f t="shared" si="1"/>
        <v>3.5233333333333334</v>
      </c>
    </row>
    <row r="145" spans="1:7" ht="13.15" customHeight="1">
      <c r="A145" s="51" t="s">
        <v>73</v>
      </c>
      <c r="B145" s="52" t="s">
        <v>74</v>
      </c>
      <c r="C145" s="81">
        <v>2</v>
      </c>
      <c r="D145" s="49">
        <v>71.599999999999994</v>
      </c>
      <c r="E145" s="50">
        <f t="shared" si="1"/>
        <v>35.799999999999997</v>
      </c>
    </row>
    <row r="146" spans="1:7">
      <c r="A146" s="51" t="s">
        <v>75</v>
      </c>
      <c r="B146" s="52" t="s">
        <v>76</v>
      </c>
      <c r="C146" s="86">
        <v>1</v>
      </c>
      <c r="D146" s="49">
        <v>128</v>
      </c>
      <c r="E146" s="54">
        <f>C146*D146</f>
        <v>128</v>
      </c>
    </row>
    <row r="147" spans="1:7">
      <c r="A147" s="51" t="s">
        <v>41</v>
      </c>
      <c r="B147" s="52" t="s">
        <v>42</v>
      </c>
      <c r="C147" s="275">
        <v>36</v>
      </c>
      <c r="D147" s="54">
        <f>+SUM(E136:E146)</f>
        <v>387.51</v>
      </c>
      <c r="E147" s="54">
        <f>C147*D147</f>
        <v>13950.36</v>
      </c>
    </row>
    <row r="148" spans="1:7">
      <c r="D148" s="61" t="s">
        <v>43</v>
      </c>
      <c r="E148" s="62">
        <f>$B$54</f>
        <v>1</v>
      </c>
      <c r="F148" s="63">
        <f>E147*E148</f>
        <v>13950.36</v>
      </c>
    </row>
    <row r="149" spans="1:7" ht="8.25" customHeight="1"/>
    <row r="150" spans="1:7" ht="13.9" customHeight="1">
      <c r="A150" s="3" t="s">
        <v>77</v>
      </c>
    </row>
    <row r="151" spans="1:7" ht="5.25" customHeight="1"/>
    <row r="152" spans="1:7" ht="24">
      <c r="A152" s="45" t="s">
        <v>22</v>
      </c>
      <c r="B152" s="45" t="s">
        <v>23</v>
      </c>
      <c r="C152" s="80" t="s">
        <v>63</v>
      </c>
      <c r="D152" s="46" t="s">
        <v>24</v>
      </c>
      <c r="E152" s="46" t="s">
        <v>25</v>
      </c>
      <c r="F152" s="46" t="s">
        <v>26</v>
      </c>
    </row>
    <row r="153" spans="1:7">
      <c r="A153" s="51" t="s">
        <v>362</v>
      </c>
      <c r="B153" s="52" t="s">
        <v>59</v>
      </c>
      <c r="C153" s="81">
        <v>12</v>
      </c>
      <c r="D153" s="54">
        <f>+D136</f>
        <v>78.900000000000006</v>
      </c>
      <c r="E153" s="50">
        <f t="shared" ref="E153:E158" si="3">IFERROR(D153/C153,0)</f>
        <v>6.5750000000000002</v>
      </c>
    </row>
    <row r="154" spans="1:7">
      <c r="A154" s="51" t="s">
        <v>64</v>
      </c>
      <c r="B154" s="52" t="s">
        <v>59</v>
      </c>
      <c r="C154" s="81">
        <v>6</v>
      </c>
      <c r="D154" s="54">
        <f>+D137</f>
        <v>59.26</v>
      </c>
      <c r="E154" s="50">
        <f t="shared" si="3"/>
        <v>9.8766666666666669</v>
      </c>
    </row>
    <row r="155" spans="1:7">
      <c r="A155" s="51" t="s">
        <v>65</v>
      </c>
      <c r="B155" s="52" t="s">
        <v>59</v>
      </c>
      <c r="C155" s="81">
        <v>6</v>
      </c>
      <c r="D155" s="54">
        <f>+D138</f>
        <v>43.26</v>
      </c>
      <c r="E155" s="50">
        <f t="shared" si="3"/>
        <v>7.21</v>
      </c>
    </row>
    <row r="156" spans="1:7">
      <c r="A156" s="51" t="s">
        <v>67</v>
      </c>
      <c r="B156" s="52" t="s">
        <v>68</v>
      </c>
      <c r="C156" s="81">
        <v>12</v>
      </c>
      <c r="D156" s="54">
        <f>+D140</f>
        <v>88.69</v>
      </c>
      <c r="E156" s="50">
        <f t="shared" si="3"/>
        <v>7.3908333333333331</v>
      </c>
    </row>
    <row r="157" spans="1:7">
      <c r="A157" s="51" t="s">
        <v>70</v>
      </c>
      <c r="B157" s="52" t="s">
        <v>59</v>
      </c>
      <c r="C157" s="81">
        <v>12</v>
      </c>
      <c r="D157" s="54">
        <f>+D142</f>
        <v>67.62</v>
      </c>
      <c r="E157" s="50">
        <f t="shared" si="3"/>
        <v>5.6350000000000007</v>
      </c>
      <c r="G157" s="3"/>
    </row>
    <row r="158" spans="1:7">
      <c r="A158" s="51" t="s">
        <v>73</v>
      </c>
      <c r="B158" s="52" t="s">
        <v>74</v>
      </c>
      <c r="C158" s="81">
        <v>3</v>
      </c>
      <c r="D158" s="54">
        <f>+D145</f>
        <v>71.599999999999994</v>
      </c>
      <c r="E158" s="50">
        <f t="shared" si="3"/>
        <v>23.866666666666664</v>
      </c>
      <c r="G158" s="3"/>
    </row>
    <row r="159" spans="1:7">
      <c r="A159" s="51" t="s">
        <v>75</v>
      </c>
      <c r="B159" s="52" t="s">
        <v>76</v>
      </c>
      <c r="C159" s="86">
        <v>1</v>
      </c>
      <c r="D159" s="49">
        <v>128</v>
      </c>
      <c r="E159" s="54">
        <f>C159*D159</f>
        <v>128</v>
      </c>
      <c r="G159" s="3"/>
    </row>
    <row r="160" spans="1:7">
      <c r="A160" s="51" t="s">
        <v>41</v>
      </c>
      <c r="B160" s="52" t="s">
        <v>42</v>
      </c>
      <c r="C160" s="275">
        <v>12</v>
      </c>
      <c r="D160" s="54">
        <f>+SUM(E153:E159)</f>
        <v>188.55416666666667</v>
      </c>
      <c r="E160" s="54">
        <f>C160*D160</f>
        <v>2262.65</v>
      </c>
      <c r="G160" s="3"/>
    </row>
    <row r="161" spans="1:10">
      <c r="D161" s="61" t="s">
        <v>43</v>
      </c>
      <c r="E161" s="62">
        <f>$B$54</f>
        <v>1</v>
      </c>
      <c r="F161" s="63">
        <f>E160*E161</f>
        <v>2262.65</v>
      </c>
      <c r="G161" s="3"/>
    </row>
    <row r="162" spans="1:10" ht="11.25" customHeight="1">
      <c r="G162" s="3"/>
    </row>
    <row r="163" spans="1:10">
      <c r="A163" s="77" t="s">
        <v>78</v>
      </c>
      <c r="B163" s="40"/>
      <c r="C163" s="40"/>
      <c r="D163" s="29"/>
      <c r="E163" s="87"/>
      <c r="F163" s="88">
        <f>+F148+F161</f>
        <v>16213.01</v>
      </c>
      <c r="G163" s="3"/>
    </row>
    <row r="164" spans="1:10" ht="7.5" customHeight="1">
      <c r="G164" s="3"/>
    </row>
    <row r="165" spans="1:10">
      <c r="A165" s="15" t="s">
        <v>79</v>
      </c>
      <c r="G165" s="3"/>
    </row>
    <row r="166" spans="1:10" ht="11.25" customHeight="1">
      <c r="B166" s="89"/>
      <c r="G166" s="3"/>
    </row>
    <row r="167" spans="1:10">
      <c r="A167" s="5" t="s">
        <v>395</v>
      </c>
      <c r="G167" s="3"/>
    </row>
    <row r="168" spans="1:10" ht="11.25" customHeight="1">
      <c r="G168" s="3"/>
    </row>
    <row r="169" spans="1:10">
      <c r="A169" s="89" t="s">
        <v>80</v>
      </c>
      <c r="G169" s="3"/>
    </row>
    <row r="170" spans="1:10">
      <c r="A170" s="45" t="s">
        <v>22</v>
      </c>
      <c r="B170" s="45" t="s">
        <v>23</v>
      </c>
      <c r="C170" s="45" t="s">
        <v>15</v>
      </c>
      <c r="D170" s="46" t="s">
        <v>24</v>
      </c>
      <c r="E170" s="46" t="s">
        <v>25</v>
      </c>
      <c r="F170" s="46" t="s">
        <v>26</v>
      </c>
      <c r="G170" s="3"/>
    </row>
    <row r="171" spans="1:10">
      <c r="A171" s="47" t="s">
        <v>81</v>
      </c>
      <c r="B171" s="48" t="s">
        <v>59</v>
      </c>
      <c r="C171" s="48">
        <v>1</v>
      </c>
      <c r="D171" s="49">
        <v>536697.75</v>
      </c>
      <c r="E171" s="50">
        <f>C171*D171</f>
        <v>536697.75</v>
      </c>
      <c r="G171" s="3"/>
    </row>
    <row r="172" spans="1:10">
      <c r="A172" s="51" t="s">
        <v>82</v>
      </c>
      <c r="B172" s="52" t="s">
        <v>83</v>
      </c>
      <c r="C172" s="60">
        <v>10</v>
      </c>
      <c r="D172" s="54"/>
      <c r="E172" s="54"/>
      <c r="G172" s="3"/>
    </row>
    <row r="173" spans="1:10">
      <c r="A173" s="51" t="s">
        <v>84</v>
      </c>
      <c r="B173" s="52" t="s">
        <v>83</v>
      </c>
      <c r="C173" s="318">
        <v>10</v>
      </c>
      <c r="D173" s="54"/>
      <c r="E173" s="54"/>
      <c r="F173" s="90"/>
      <c r="I173" s="91"/>
      <c r="J173" s="91"/>
    </row>
    <row r="174" spans="1:10">
      <c r="A174" s="51" t="s">
        <v>85</v>
      </c>
      <c r="B174" s="52" t="s">
        <v>4</v>
      </c>
      <c r="C174" s="59">
        <f>IFERROR(VLOOKUP(C172,'5__Depreciação'!A3:B17,2,0),0)</f>
        <v>65.180000000000007</v>
      </c>
      <c r="D174" s="54">
        <f>E171</f>
        <v>536697.75</v>
      </c>
      <c r="E174" s="54">
        <f>C174*D174/100</f>
        <v>349819.59345000004</v>
      </c>
    </row>
    <row r="175" spans="1:10" ht="13.5" thickBot="1">
      <c r="A175" s="92" t="s">
        <v>86</v>
      </c>
      <c r="B175" s="93" t="s">
        <v>28</v>
      </c>
      <c r="C175" s="93">
        <f>C172*12</f>
        <v>120</v>
      </c>
      <c r="D175" s="94">
        <f>IF(C173&lt;=C172,E174,0)</f>
        <v>349819.59345000004</v>
      </c>
      <c r="E175" s="94">
        <f>IFERROR(D175/C175,0)</f>
        <v>2915.1632787500002</v>
      </c>
    </row>
    <row r="176" spans="1:10" ht="13.5" thickTop="1">
      <c r="A176" s="47" t="s">
        <v>87</v>
      </c>
      <c r="B176" s="48" t="s">
        <v>59</v>
      </c>
      <c r="C176" s="48">
        <v>1</v>
      </c>
      <c r="D176" s="49">
        <v>200000</v>
      </c>
      <c r="E176" s="50">
        <f>C176*D176</f>
        <v>200000</v>
      </c>
      <c r="G176" s="3"/>
    </row>
    <row r="177" spans="1:10">
      <c r="A177" s="51" t="s">
        <v>88</v>
      </c>
      <c r="B177" s="52" t="s">
        <v>83</v>
      </c>
      <c r="C177" s="60">
        <v>10</v>
      </c>
      <c r="D177" s="54"/>
      <c r="E177" s="54"/>
    </row>
    <row r="178" spans="1:10">
      <c r="A178" s="51" t="s">
        <v>89</v>
      </c>
      <c r="B178" s="52" t="s">
        <v>83</v>
      </c>
      <c r="C178" s="318">
        <v>10</v>
      </c>
      <c r="D178" s="54"/>
      <c r="E178" s="54"/>
      <c r="F178" s="90"/>
      <c r="I178" s="91"/>
      <c r="J178" s="91"/>
    </row>
    <row r="179" spans="1:10">
      <c r="A179" s="51" t="s">
        <v>90</v>
      </c>
      <c r="B179" s="52" t="s">
        <v>4</v>
      </c>
      <c r="C179" s="95">
        <f>IFERROR(VLOOKUP(C177,'5__Depreciação'!A3:B17,2,0),0)</f>
        <v>65.180000000000007</v>
      </c>
      <c r="D179" s="54">
        <f>E176</f>
        <v>200000</v>
      </c>
      <c r="E179" s="54">
        <f>C179*D179/100</f>
        <v>130360.00000000001</v>
      </c>
    </row>
    <row r="180" spans="1:10">
      <c r="A180" s="66" t="s">
        <v>91</v>
      </c>
      <c r="B180" s="39" t="s">
        <v>28</v>
      </c>
      <c r="C180" s="39">
        <v>120</v>
      </c>
      <c r="D180" s="10">
        <f>IF(C178&lt;=C177,E179,0)</f>
        <v>130360.00000000001</v>
      </c>
      <c r="E180" s="10">
        <f>IFERROR(D180/C180,0)</f>
        <v>1086.3333333333335</v>
      </c>
    </row>
    <row r="181" spans="1:10">
      <c r="A181" s="55" t="s">
        <v>92</v>
      </c>
      <c r="B181" s="56"/>
      <c r="C181" s="56"/>
      <c r="D181" s="57"/>
      <c r="E181" s="58">
        <f>E175+E180</f>
        <v>4001.4966120833337</v>
      </c>
    </row>
    <row r="182" spans="1:10">
      <c r="A182" s="66" t="s">
        <v>93</v>
      </c>
      <c r="B182" s="39" t="s">
        <v>59</v>
      </c>
      <c r="C182" s="60">
        <v>6</v>
      </c>
      <c r="D182" s="10">
        <f>E181</f>
        <v>4001.4966120833337</v>
      </c>
      <c r="E182" s="58">
        <f>C182*D182</f>
        <v>24008.979672500001</v>
      </c>
    </row>
    <row r="183" spans="1:10">
      <c r="A183" s="96"/>
      <c r="B183" s="96"/>
      <c r="C183" s="96"/>
      <c r="D183" s="61" t="s">
        <v>43</v>
      </c>
      <c r="E183" s="62">
        <v>1.1000000000000001</v>
      </c>
      <c r="F183" s="88">
        <f>E182*E183</f>
        <v>26409.877639750004</v>
      </c>
    </row>
    <row r="184" spans="1:10" ht="11.25" customHeight="1"/>
    <row r="185" spans="1:10">
      <c r="A185" s="89" t="s">
        <v>95</v>
      </c>
    </row>
    <row r="186" spans="1:10">
      <c r="A186" s="98" t="s">
        <v>22</v>
      </c>
      <c r="B186" s="98" t="s">
        <v>23</v>
      </c>
      <c r="C186" s="98" t="s">
        <v>15</v>
      </c>
      <c r="D186" s="46" t="s">
        <v>24</v>
      </c>
      <c r="E186" s="99" t="s">
        <v>25</v>
      </c>
      <c r="F186" s="46" t="s">
        <v>26</v>
      </c>
      <c r="I186" s="91"/>
      <c r="J186" s="91"/>
    </row>
    <row r="187" spans="1:10">
      <c r="A187" s="51" t="s">
        <v>96</v>
      </c>
      <c r="B187" s="52" t="s">
        <v>59</v>
      </c>
      <c r="C187" s="48">
        <v>1</v>
      </c>
      <c r="D187" s="54">
        <f>D171</f>
        <v>536697.75</v>
      </c>
      <c r="E187" s="54">
        <f>C187*D187</f>
        <v>536697.75</v>
      </c>
      <c r="F187" s="90"/>
      <c r="I187" s="91"/>
      <c r="J187" s="91"/>
    </row>
    <row r="188" spans="1:10">
      <c r="A188" s="51" t="s">
        <v>97</v>
      </c>
      <c r="B188" s="52" t="s">
        <v>4</v>
      </c>
      <c r="C188" s="53">
        <v>15</v>
      </c>
      <c r="D188" s="54"/>
      <c r="E188" s="54"/>
      <c r="F188" s="90"/>
      <c r="I188" s="91"/>
      <c r="J188" s="91"/>
    </row>
    <row r="189" spans="1:10">
      <c r="A189" s="51" t="s">
        <v>98</v>
      </c>
      <c r="B189" s="52" t="s">
        <v>35</v>
      </c>
      <c r="C189" s="100">
        <f>IFERROR(IF(C173&lt;=C172,E171-(C174/(100*C172)*C173)*E171,E171-E174),0)</f>
        <v>186878.15654999996</v>
      </c>
      <c r="D189" s="54"/>
      <c r="E189" s="54"/>
      <c r="F189" s="90"/>
      <c r="I189" s="91"/>
      <c r="J189" s="91"/>
    </row>
    <row r="190" spans="1:10">
      <c r="A190" s="51" t="s">
        <v>99</v>
      </c>
      <c r="B190" s="52" t="s">
        <v>35</v>
      </c>
      <c r="C190" s="54">
        <f>IFERROR(IF(C173&gt;=C172,C189,((((C189)-(E171-E174))*(((C172-C173)+1)/(2*(C172-C173))))+(E171-E174))),0)</f>
        <v>186878.15654999996</v>
      </c>
      <c r="D190" s="54"/>
      <c r="E190" s="54"/>
      <c r="F190" s="90"/>
      <c r="I190" s="91"/>
      <c r="J190" s="91"/>
    </row>
    <row r="191" spans="1:10" ht="13.5" thickBot="1">
      <c r="A191" s="92" t="s">
        <v>100</v>
      </c>
      <c r="B191" s="93" t="s">
        <v>35</v>
      </c>
      <c r="C191" s="93"/>
      <c r="D191" s="94">
        <f>C188*C190/12/100</f>
        <v>2335.9769568749994</v>
      </c>
      <c r="E191" s="94">
        <f>D191</f>
        <v>2335.9769568749994</v>
      </c>
      <c r="F191" s="90"/>
      <c r="I191" s="91"/>
      <c r="J191" s="91"/>
    </row>
    <row r="192" spans="1:10" ht="13.5" thickTop="1">
      <c r="A192" s="47" t="s">
        <v>101</v>
      </c>
      <c r="B192" s="48" t="s">
        <v>59</v>
      </c>
      <c r="C192" s="48">
        <f>C176</f>
        <v>1</v>
      </c>
      <c r="D192" s="50">
        <f>D176</f>
        <v>200000</v>
      </c>
      <c r="E192" s="50">
        <f>C192*D192</f>
        <v>200000</v>
      </c>
      <c r="F192" s="90"/>
      <c r="I192" s="91"/>
      <c r="J192" s="91"/>
    </row>
    <row r="193" spans="1:10">
      <c r="A193" s="51" t="s">
        <v>97</v>
      </c>
      <c r="B193" s="52" t="s">
        <v>4</v>
      </c>
      <c r="C193" s="232">
        <f>C188</f>
        <v>15</v>
      </c>
      <c r="D193" s="54"/>
      <c r="E193" s="54"/>
      <c r="F193" s="90"/>
      <c r="I193" s="91"/>
      <c r="J193" s="91"/>
    </row>
    <row r="194" spans="1:10">
      <c r="A194" s="51" t="s">
        <v>102</v>
      </c>
      <c r="B194" s="52" t="s">
        <v>35</v>
      </c>
      <c r="C194" s="100">
        <f>IFERROR(IF(C178&lt;=C177,E176-(C179/(100*C177)*C178)*E176,E176-E179),0)</f>
        <v>69639.999999999985</v>
      </c>
      <c r="D194" s="54"/>
      <c r="E194" s="54"/>
      <c r="F194" s="90"/>
      <c r="I194" s="91"/>
      <c r="J194" s="91"/>
    </row>
    <row r="195" spans="1:10">
      <c r="A195" s="51" t="s">
        <v>103</v>
      </c>
      <c r="B195" s="52" t="s">
        <v>35</v>
      </c>
      <c r="C195" s="54">
        <f>IFERROR(IF(C178&gt;=C177,C194,((((C194)-(E176-E179))*(((C177-C178)+1)/(2*(C177-C178))))+(E176-E179))),0)</f>
        <v>69639.999999999985</v>
      </c>
      <c r="D195" s="54"/>
      <c r="E195" s="54"/>
      <c r="F195" s="90"/>
      <c r="I195" s="91"/>
      <c r="J195" s="91"/>
    </row>
    <row r="196" spans="1:10">
      <c r="A196" s="66" t="s">
        <v>104</v>
      </c>
      <c r="B196" s="39" t="s">
        <v>35</v>
      </c>
      <c r="C196" s="39"/>
      <c r="D196" s="10">
        <f>C193*C195/12/100</f>
        <v>870.49999999999989</v>
      </c>
      <c r="E196" s="10">
        <f>D196</f>
        <v>870.49999999999989</v>
      </c>
      <c r="F196" s="90"/>
      <c r="I196" s="91"/>
      <c r="J196" s="91"/>
    </row>
    <row r="197" spans="1:10">
      <c r="A197" s="55" t="s">
        <v>92</v>
      </c>
      <c r="B197" s="56"/>
      <c r="C197" s="56"/>
      <c r="D197" s="57"/>
      <c r="E197" s="58">
        <f>E191+E196</f>
        <v>3206.4769568749994</v>
      </c>
      <c r="F197" s="90"/>
      <c r="I197" s="91"/>
      <c r="J197" s="91"/>
    </row>
    <row r="198" spans="1:10">
      <c r="A198" s="66" t="s">
        <v>93</v>
      </c>
      <c r="B198" s="39" t="s">
        <v>59</v>
      </c>
      <c r="C198" s="52">
        <v>6</v>
      </c>
      <c r="D198" s="10">
        <f>E197</f>
        <v>3206.4769568749994</v>
      </c>
      <c r="E198" s="58">
        <f>C198*D198</f>
        <v>19238.861741249995</v>
      </c>
      <c r="F198" s="90"/>
      <c r="I198" s="91"/>
      <c r="J198" s="91"/>
    </row>
    <row r="199" spans="1:10">
      <c r="C199" s="101"/>
      <c r="D199" s="61" t="s">
        <v>43</v>
      </c>
      <c r="E199" s="62">
        <v>1.1000000000000001</v>
      </c>
      <c r="F199" s="88">
        <f>E198*E199</f>
        <v>21162.747915374996</v>
      </c>
      <c r="I199" s="91"/>
      <c r="J199" s="91"/>
    </row>
    <row r="200" spans="1:10">
      <c r="C200" s="101"/>
      <c r="D200" s="61"/>
      <c r="E200" s="233"/>
      <c r="F200" s="234"/>
      <c r="I200" s="91"/>
      <c r="J200" s="91"/>
    </row>
    <row r="201" spans="1:10">
      <c r="A201" s="239" t="s">
        <v>327</v>
      </c>
      <c r="B201" s="235" t="s">
        <v>4</v>
      </c>
      <c r="C201" s="235">
        <v>0.1</v>
      </c>
      <c r="D201" s="236"/>
      <c r="E201" s="237"/>
      <c r="F201" s="238">
        <f>(C201*F199)</f>
        <v>2116.2747915374998</v>
      </c>
      <c r="I201" s="91"/>
      <c r="J201" s="91"/>
    </row>
    <row r="202" spans="1:10" ht="11.25" customHeight="1">
      <c r="I202" s="91"/>
      <c r="J202" s="91"/>
    </row>
    <row r="203" spans="1:10">
      <c r="A203" s="3" t="s">
        <v>105</v>
      </c>
      <c r="I203" s="91"/>
      <c r="J203" s="91"/>
    </row>
    <row r="204" spans="1:10">
      <c r="A204" s="45" t="s">
        <v>22</v>
      </c>
      <c r="B204" s="45" t="s">
        <v>23</v>
      </c>
      <c r="C204" s="45" t="s">
        <v>15</v>
      </c>
      <c r="D204" s="46" t="s">
        <v>24</v>
      </c>
      <c r="E204" s="46" t="s">
        <v>25</v>
      </c>
      <c r="F204" s="46" t="s">
        <v>26</v>
      </c>
      <c r="I204" s="91"/>
      <c r="J204" s="91"/>
    </row>
    <row r="205" spans="1:10">
      <c r="A205" s="47" t="s">
        <v>106</v>
      </c>
      <c r="B205" s="48" t="s">
        <v>59</v>
      </c>
      <c r="C205" s="50">
        <f>C182</f>
        <v>6</v>
      </c>
      <c r="D205" s="50">
        <f>0.01*($E$171)</f>
        <v>5366.9775</v>
      </c>
      <c r="E205" s="50">
        <f>C205*D205</f>
        <v>32201.864999999998</v>
      </c>
      <c r="I205" s="91"/>
      <c r="J205" s="91"/>
    </row>
    <row r="206" spans="1:10">
      <c r="A206" s="51" t="s">
        <v>107</v>
      </c>
      <c r="B206" s="52" t="s">
        <v>59</v>
      </c>
      <c r="C206" s="50">
        <f>C205</f>
        <v>6</v>
      </c>
      <c r="D206" s="76">
        <v>109.27</v>
      </c>
      <c r="E206" s="54">
        <f>C206*D206</f>
        <v>655.62</v>
      </c>
      <c r="I206" s="91"/>
      <c r="J206" s="91"/>
    </row>
    <row r="207" spans="1:10">
      <c r="A207" s="51" t="s">
        <v>108</v>
      </c>
      <c r="B207" s="52" t="s">
        <v>59</v>
      </c>
      <c r="C207" s="50">
        <f>C205</f>
        <v>6</v>
      </c>
      <c r="D207" s="76">
        <v>2650</v>
      </c>
      <c r="E207" s="54">
        <f>C207*D207</f>
        <v>15900</v>
      </c>
      <c r="F207" s="57"/>
      <c r="I207" s="91"/>
      <c r="J207" s="91"/>
    </row>
    <row r="208" spans="1:10">
      <c r="A208" s="66" t="s">
        <v>109</v>
      </c>
      <c r="B208" s="39" t="s">
        <v>28</v>
      </c>
      <c r="C208" s="39">
        <v>12</v>
      </c>
      <c r="D208" s="10">
        <f>SUM(E205:E207)</f>
        <v>48757.485000000001</v>
      </c>
      <c r="E208" s="10">
        <f>D208/C208</f>
        <v>4063.1237500000002</v>
      </c>
      <c r="I208" s="91"/>
      <c r="J208" s="91"/>
    </row>
    <row r="209" spans="1:10">
      <c r="D209" s="61" t="s">
        <v>43</v>
      </c>
      <c r="E209" s="62">
        <v>1</v>
      </c>
      <c r="F209" s="63">
        <f>E208*E209</f>
        <v>4063.1237500000002</v>
      </c>
      <c r="I209" s="91"/>
      <c r="J209" s="91"/>
    </row>
    <row r="210" spans="1:10" ht="11.25" customHeight="1">
      <c r="I210" s="91"/>
      <c r="J210" s="91"/>
    </row>
    <row r="211" spans="1:10">
      <c r="A211" s="3" t="s">
        <v>110</v>
      </c>
      <c r="B211" s="102"/>
      <c r="I211" s="91"/>
      <c r="J211" s="91"/>
    </row>
    <row r="212" spans="1:10">
      <c r="B212" s="102"/>
      <c r="I212" s="91"/>
      <c r="J212" s="91"/>
    </row>
    <row r="213" spans="1:10">
      <c r="A213" s="66" t="s">
        <v>111</v>
      </c>
      <c r="B213" s="103">
        <v>29700</v>
      </c>
      <c r="I213" s="91"/>
      <c r="J213" s="91"/>
    </row>
    <row r="214" spans="1:10">
      <c r="B214" s="102"/>
      <c r="I214" s="91"/>
      <c r="J214" s="91"/>
    </row>
    <row r="215" spans="1:10">
      <c r="A215" s="45" t="s">
        <v>22</v>
      </c>
      <c r="B215" s="45" t="s">
        <v>23</v>
      </c>
      <c r="C215" s="45" t="s">
        <v>112</v>
      </c>
      <c r="D215" s="46" t="s">
        <v>24</v>
      </c>
      <c r="E215" s="46" t="s">
        <v>25</v>
      </c>
      <c r="F215" s="46" t="s">
        <v>26</v>
      </c>
      <c r="I215" s="91"/>
      <c r="J215" s="91"/>
    </row>
    <row r="216" spans="1:10">
      <c r="A216" s="47" t="s">
        <v>113</v>
      </c>
      <c r="B216" s="48" t="s">
        <v>114</v>
      </c>
      <c r="C216" s="104">
        <v>2.5</v>
      </c>
      <c r="D216" s="105">
        <v>6.09</v>
      </c>
      <c r="E216" s="50"/>
      <c r="I216" s="91"/>
      <c r="J216" s="91"/>
    </row>
    <row r="217" spans="1:10">
      <c r="A217" s="51" t="s">
        <v>115</v>
      </c>
      <c r="B217" s="52" t="s">
        <v>116</v>
      </c>
      <c r="C217" s="70">
        <f>B213</f>
        <v>29700</v>
      </c>
      <c r="D217" s="106">
        <f>IFERROR(+D216/C216,"-")</f>
        <v>2.4359999999999999</v>
      </c>
      <c r="E217" s="54">
        <f>IFERROR(C217*D217,"-")</f>
        <v>72349.2</v>
      </c>
      <c r="I217" s="91"/>
      <c r="J217" s="91"/>
    </row>
    <row r="218" spans="1:10">
      <c r="A218" s="51" t="s">
        <v>117</v>
      </c>
      <c r="B218" s="52" t="s">
        <v>118</v>
      </c>
      <c r="C218" s="107">
        <v>2.5</v>
      </c>
      <c r="D218" s="76">
        <v>30.34</v>
      </c>
      <c r="E218" s="54"/>
      <c r="I218" s="91"/>
      <c r="J218" s="91"/>
    </row>
    <row r="219" spans="1:10">
      <c r="A219" s="51" t="s">
        <v>119</v>
      </c>
      <c r="B219" s="52" t="s">
        <v>116</v>
      </c>
      <c r="C219" s="70">
        <f>C217</f>
        <v>29700</v>
      </c>
      <c r="D219" s="108">
        <f>+C218*D218/1000</f>
        <v>7.5850000000000001E-2</v>
      </c>
      <c r="E219" s="54">
        <f>C219*D219</f>
        <v>2252.7449999999999</v>
      </c>
      <c r="I219" s="91"/>
      <c r="J219" s="91"/>
    </row>
    <row r="220" spans="1:10">
      <c r="A220" s="51" t="s">
        <v>120</v>
      </c>
      <c r="B220" s="52" t="s">
        <v>118</v>
      </c>
      <c r="C220" s="107">
        <v>0.32</v>
      </c>
      <c r="D220" s="76">
        <v>23.8</v>
      </c>
      <c r="E220" s="54"/>
      <c r="I220" s="91"/>
      <c r="J220" s="91"/>
    </row>
    <row r="221" spans="1:10">
      <c r="A221" s="51" t="s">
        <v>121</v>
      </c>
      <c r="B221" s="52" t="s">
        <v>116</v>
      </c>
      <c r="C221" s="70">
        <f>C217</f>
        <v>29700</v>
      </c>
      <c r="D221" s="108">
        <f>+C220*D220/1000</f>
        <v>7.6160000000000004E-3</v>
      </c>
      <c r="E221" s="54">
        <f>C221*D221</f>
        <v>226.1952</v>
      </c>
      <c r="I221" s="91"/>
      <c r="J221" s="91"/>
    </row>
    <row r="222" spans="1:10">
      <c r="A222" s="51" t="s">
        <v>122</v>
      </c>
      <c r="B222" s="52" t="s">
        <v>118</v>
      </c>
      <c r="C222" s="107">
        <v>0.81</v>
      </c>
      <c r="D222" s="76">
        <v>14.25</v>
      </c>
      <c r="E222" s="54"/>
      <c r="I222" s="91"/>
      <c r="J222" s="91"/>
    </row>
    <row r="223" spans="1:10">
      <c r="A223" s="51" t="s">
        <v>123</v>
      </c>
      <c r="B223" s="52" t="s">
        <v>116</v>
      </c>
      <c r="C223" s="70">
        <f>C217</f>
        <v>29700</v>
      </c>
      <c r="D223" s="108">
        <f>+C222*D222/1000</f>
        <v>1.1542500000000001E-2</v>
      </c>
      <c r="E223" s="54">
        <f>C223*D223</f>
        <v>342.81225000000001</v>
      </c>
      <c r="I223" s="91"/>
      <c r="J223" s="91"/>
    </row>
    <row r="224" spans="1:10">
      <c r="A224" s="51" t="s">
        <v>124</v>
      </c>
      <c r="B224" s="52" t="s">
        <v>125</v>
      </c>
      <c r="C224" s="107">
        <v>0.4</v>
      </c>
      <c r="D224" s="76">
        <v>17.559999999999999</v>
      </c>
      <c r="E224" s="54"/>
      <c r="I224" s="91"/>
      <c r="J224" s="91"/>
    </row>
    <row r="225" spans="1:10">
      <c r="A225" s="51" t="s">
        <v>126</v>
      </c>
      <c r="B225" s="52" t="s">
        <v>116</v>
      </c>
      <c r="C225" s="70">
        <f>C217</f>
        <v>29700</v>
      </c>
      <c r="D225" s="108">
        <f>+C224*D224/1000</f>
        <v>7.0239999999999999E-3</v>
      </c>
      <c r="E225" s="54">
        <f>C225*D225</f>
        <v>208.61279999999999</v>
      </c>
      <c r="I225" s="91"/>
      <c r="J225" s="91"/>
    </row>
    <row r="226" spans="1:10">
      <c r="A226" s="66" t="s">
        <v>127</v>
      </c>
      <c r="B226" s="39" t="s">
        <v>128</v>
      </c>
      <c r="C226" s="109"/>
      <c r="D226" s="110">
        <f>IFERROR(D217+D219+D221+D223+D225,0)</f>
        <v>2.5380324999999999</v>
      </c>
      <c r="E226" s="54"/>
      <c r="I226" s="91"/>
      <c r="J226" s="91"/>
    </row>
    <row r="227" spans="1:10">
      <c r="F227" s="88">
        <f>SUM(E216:E225)</f>
        <v>75379.56525</v>
      </c>
      <c r="I227" s="91"/>
      <c r="J227" s="91"/>
    </row>
    <row r="228" spans="1:10" ht="11.25" customHeight="1">
      <c r="I228" s="91"/>
      <c r="J228" s="91"/>
    </row>
    <row r="229" spans="1:10">
      <c r="A229" s="3" t="s">
        <v>129</v>
      </c>
      <c r="I229" s="91"/>
      <c r="J229" s="91"/>
    </row>
    <row r="230" spans="1:10">
      <c r="A230" s="45" t="s">
        <v>22</v>
      </c>
      <c r="B230" s="45" t="s">
        <v>23</v>
      </c>
      <c r="C230" s="45" t="s">
        <v>15</v>
      </c>
      <c r="D230" s="46" t="s">
        <v>24</v>
      </c>
      <c r="E230" s="46" t="s">
        <v>25</v>
      </c>
      <c r="F230" s="46" t="s">
        <v>26</v>
      </c>
      <c r="I230" s="91"/>
      <c r="J230" s="91"/>
    </row>
    <row r="231" spans="1:10">
      <c r="A231" s="47" t="s">
        <v>130</v>
      </c>
      <c r="B231" s="48" t="s">
        <v>128</v>
      </c>
      <c r="C231" s="70">
        <f>C217</f>
        <v>29700</v>
      </c>
      <c r="D231" s="49">
        <v>0.85</v>
      </c>
      <c r="E231" s="50">
        <f>C231*D231</f>
        <v>25245</v>
      </c>
      <c r="I231" s="91"/>
      <c r="J231" s="91"/>
    </row>
    <row r="232" spans="1:10">
      <c r="F232" s="88">
        <f>E231</f>
        <v>25245</v>
      </c>
      <c r="I232" s="91"/>
      <c r="J232" s="91"/>
    </row>
    <row r="233" spans="1:10" ht="11.25" customHeight="1">
      <c r="I233" s="91"/>
      <c r="J233" s="91"/>
    </row>
    <row r="234" spans="1:10">
      <c r="A234" s="3" t="s">
        <v>131</v>
      </c>
      <c r="I234" s="91"/>
      <c r="J234" s="91"/>
    </row>
    <row r="235" spans="1:10">
      <c r="A235" s="45" t="s">
        <v>22</v>
      </c>
      <c r="B235" s="45" t="s">
        <v>23</v>
      </c>
      <c r="C235" s="45" t="s">
        <v>15</v>
      </c>
      <c r="D235" s="46" t="s">
        <v>24</v>
      </c>
      <c r="E235" s="46" t="s">
        <v>25</v>
      </c>
      <c r="F235" s="46" t="s">
        <v>26</v>
      </c>
      <c r="I235" s="91"/>
      <c r="J235" s="91"/>
    </row>
    <row r="236" spans="1:10">
      <c r="A236" s="47" t="s">
        <v>132</v>
      </c>
      <c r="B236" s="48" t="s">
        <v>59</v>
      </c>
      <c r="C236" s="111">
        <v>6</v>
      </c>
      <c r="D236" s="49">
        <v>2350</v>
      </c>
      <c r="E236" s="50">
        <f>C236*D236</f>
        <v>14100</v>
      </c>
      <c r="I236" s="91"/>
      <c r="J236" s="91"/>
    </row>
    <row r="237" spans="1:10">
      <c r="A237" s="47" t="s">
        <v>133</v>
      </c>
      <c r="B237" s="48" t="s">
        <v>59</v>
      </c>
      <c r="C237" s="111">
        <v>1</v>
      </c>
      <c r="D237" s="50"/>
      <c r="E237" s="50"/>
      <c r="I237" s="91"/>
      <c r="J237" s="91"/>
    </row>
    <row r="238" spans="1:10">
      <c r="A238" s="47" t="s">
        <v>134</v>
      </c>
      <c r="B238" s="48" t="s">
        <v>59</v>
      </c>
      <c r="C238" s="50">
        <f>C236*C237</f>
        <v>6</v>
      </c>
      <c r="D238" s="49">
        <v>600</v>
      </c>
      <c r="E238" s="50">
        <f>C238*D238</f>
        <v>3600</v>
      </c>
      <c r="I238" s="91"/>
      <c r="J238" s="91"/>
    </row>
    <row r="239" spans="1:10">
      <c r="A239" s="51" t="s">
        <v>135</v>
      </c>
      <c r="B239" s="52" t="s">
        <v>136</v>
      </c>
      <c r="C239" s="112">
        <v>70000</v>
      </c>
      <c r="D239" s="54">
        <f>E236+E238</f>
        <v>17700</v>
      </c>
      <c r="E239" s="54">
        <f>IFERROR(D239/C239,"-")</f>
        <v>0.25285714285714284</v>
      </c>
      <c r="I239" s="91"/>
      <c r="J239" s="91"/>
    </row>
    <row r="240" spans="1:10">
      <c r="A240" s="51" t="s">
        <v>137</v>
      </c>
      <c r="B240" s="52" t="s">
        <v>116</v>
      </c>
      <c r="C240" s="70">
        <f>B213</f>
        <v>29700</v>
      </c>
      <c r="D240" s="54">
        <f>E239</f>
        <v>0.25285714285714284</v>
      </c>
      <c r="E240" s="54">
        <f>IFERROR(C240*D240,0)</f>
        <v>7509.8571428571422</v>
      </c>
      <c r="I240" s="91"/>
      <c r="J240" s="91"/>
    </row>
    <row r="241" spans="1:10">
      <c r="F241" s="88">
        <f>E240</f>
        <v>7509.8571428571422</v>
      </c>
      <c r="I241" s="91"/>
      <c r="J241" s="91"/>
    </row>
    <row r="242" spans="1:10" ht="11.25" customHeight="1">
      <c r="I242" s="91"/>
      <c r="J242" s="91"/>
    </row>
    <row r="243" spans="1:10" ht="11.25" hidden="1" customHeight="1">
      <c r="A243" s="15" t="s">
        <v>5</v>
      </c>
      <c r="I243" s="91"/>
      <c r="J243" s="91"/>
    </row>
    <row r="244" spans="1:10" ht="11.25" hidden="1" customHeight="1">
      <c r="A244" s="15"/>
      <c r="I244" s="91"/>
      <c r="J244" s="91"/>
    </row>
    <row r="245" spans="1:10" ht="11.25" hidden="1" customHeight="1">
      <c r="A245" s="113" t="s">
        <v>6</v>
      </c>
      <c r="I245" s="91"/>
      <c r="J245" s="91"/>
    </row>
    <row r="246" spans="1:10" ht="11.25" hidden="1" customHeight="1">
      <c r="A246" s="45" t="s">
        <v>22</v>
      </c>
      <c r="B246" s="45" t="s">
        <v>23</v>
      </c>
      <c r="C246" s="45" t="s">
        <v>15</v>
      </c>
      <c r="D246" s="46" t="s">
        <v>24</v>
      </c>
      <c r="E246" s="46" t="s">
        <v>25</v>
      </c>
      <c r="F246" s="46" t="s">
        <v>26</v>
      </c>
      <c r="I246" s="91"/>
      <c r="J246" s="91"/>
    </row>
    <row r="247" spans="1:10" ht="11.25" hidden="1" customHeight="1">
      <c r="A247" s="47" t="s">
        <v>81</v>
      </c>
      <c r="B247" s="48" t="s">
        <v>59</v>
      </c>
      <c r="C247" s="48">
        <v>0</v>
      </c>
      <c r="D247" s="49">
        <v>100000</v>
      </c>
      <c r="E247" s="50">
        <f>C247*D247</f>
        <v>0</v>
      </c>
      <c r="I247" s="91"/>
      <c r="J247" s="91"/>
    </row>
    <row r="248" spans="1:10" ht="11.25" hidden="1" customHeight="1">
      <c r="A248" s="51" t="s">
        <v>82</v>
      </c>
      <c r="B248" s="52" t="s">
        <v>83</v>
      </c>
      <c r="C248" s="60">
        <v>10</v>
      </c>
      <c r="D248" s="54"/>
      <c r="E248" s="54"/>
      <c r="I248" s="91"/>
      <c r="J248" s="91"/>
    </row>
    <row r="249" spans="1:10" ht="11.25" hidden="1" customHeight="1">
      <c r="A249" s="51" t="s">
        <v>84</v>
      </c>
      <c r="B249" s="52" t="s">
        <v>83</v>
      </c>
      <c r="C249" s="60">
        <v>10</v>
      </c>
      <c r="D249" s="54"/>
      <c r="E249" s="54"/>
      <c r="F249" s="90"/>
      <c r="I249" s="91"/>
      <c r="J249" s="91"/>
    </row>
    <row r="250" spans="1:10" ht="11.25" hidden="1" customHeight="1">
      <c r="A250" s="51" t="s">
        <v>85</v>
      </c>
      <c r="B250" s="52" t="s">
        <v>4</v>
      </c>
      <c r="C250" s="59">
        <v>65.180000000000007</v>
      </c>
      <c r="D250" s="54">
        <f>E247</f>
        <v>0</v>
      </c>
      <c r="E250" s="54">
        <f>C250*D250/100</f>
        <v>0</v>
      </c>
      <c r="I250" s="91"/>
      <c r="J250" s="91"/>
    </row>
    <row r="251" spans="1:10" ht="11.25" hidden="1" customHeight="1" thickBot="1">
      <c r="A251" s="92" t="s">
        <v>86</v>
      </c>
      <c r="B251" s="93" t="s">
        <v>28</v>
      </c>
      <c r="C251" s="93">
        <f>C248*12</f>
        <v>120</v>
      </c>
      <c r="D251" s="94">
        <f>IF(C249&lt;=C248,E250,0)</f>
        <v>0</v>
      </c>
      <c r="E251" s="94">
        <f>IFERROR(D251/C251,0)</f>
        <v>0</v>
      </c>
      <c r="I251" s="91"/>
      <c r="J251" s="91"/>
    </row>
    <row r="252" spans="1:10" ht="11.25" hidden="1" customHeight="1" thickTop="1">
      <c r="A252" s="55" t="s">
        <v>92</v>
      </c>
      <c r="B252" s="56"/>
      <c r="C252" s="56"/>
      <c r="D252" s="57"/>
      <c r="E252" s="58">
        <f>E251</f>
        <v>0</v>
      </c>
      <c r="I252" s="91"/>
      <c r="J252" s="91"/>
    </row>
    <row r="253" spans="1:10" ht="11.25" hidden="1" customHeight="1">
      <c r="A253" s="66" t="s">
        <v>93</v>
      </c>
      <c r="B253" s="39" t="s">
        <v>59</v>
      </c>
      <c r="C253" s="60">
        <v>1</v>
      </c>
      <c r="D253" s="10">
        <f>E252</f>
        <v>0</v>
      </c>
      <c r="E253" s="58">
        <f>C253*D253</f>
        <v>0</v>
      </c>
      <c r="G253" s="3"/>
    </row>
    <row r="254" spans="1:10" ht="11.25" hidden="1" customHeight="1">
      <c r="A254" s="96"/>
      <c r="B254" s="96"/>
      <c r="C254" s="96"/>
      <c r="D254" s="61" t="s">
        <v>43</v>
      </c>
      <c r="E254" s="62">
        <v>1</v>
      </c>
      <c r="F254" s="88">
        <f>E253*E254</f>
        <v>0</v>
      </c>
      <c r="G254" s="3"/>
    </row>
    <row r="255" spans="1:10" ht="11.25" hidden="1" customHeight="1">
      <c r="G255" s="3"/>
    </row>
    <row r="256" spans="1:10" ht="11.25" hidden="1" customHeight="1">
      <c r="A256" s="3" t="s">
        <v>7</v>
      </c>
      <c r="G256" s="3"/>
    </row>
    <row r="257" spans="1:7" ht="11.25" hidden="1" customHeight="1">
      <c r="A257" s="98" t="s">
        <v>22</v>
      </c>
      <c r="B257" s="98" t="s">
        <v>23</v>
      </c>
      <c r="C257" s="98" t="s">
        <v>15</v>
      </c>
      <c r="D257" s="46" t="s">
        <v>24</v>
      </c>
      <c r="E257" s="99" t="s">
        <v>25</v>
      </c>
      <c r="F257" s="273" t="s">
        <v>26</v>
      </c>
      <c r="G257" s="3"/>
    </row>
    <row r="258" spans="1:7" ht="11.25" hidden="1" customHeight="1">
      <c r="A258" s="51" t="s">
        <v>96</v>
      </c>
      <c r="B258" s="52" t="s">
        <v>59</v>
      </c>
      <c r="C258" s="48">
        <v>1</v>
      </c>
      <c r="D258" s="54">
        <f>D247</f>
        <v>100000</v>
      </c>
      <c r="E258" s="54">
        <f>C258*D258</f>
        <v>100000</v>
      </c>
      <c r="F258" s="90"/>
      <c r="G258" s="3"/>
    </row>
    <row r="259" spans="1:7" ht="11.25" hidden="1" customHeight="1">
      <c r="A259" s="51" t="s">
        <v>97</v>
      </c>
      <c r="B259" s="52" t="s">
        <v>4</v>
      </c>
      <c r="C259" s="53">
        <v>10.5</v>
      </c>
      <c r="D259" s="54"/>
      <c r="E259" s="54"/>
      <c r="F259" s="90"/>
      <c r="G259" s="3"/>
    </row>
    <row r="260" spans="1:7" ht="11.25" hidden="1" customHeight="1">
      <c r="A260" s="51" t="s">
        <v>98</v>
      </c>
      <c r="B260" s="52" t="s">
        <v>35</v>
      </c>
      <c r="C260" s="100">
        <f>IFERROR(IF(C249&lt;=C248,E247-(C250/(100*C248)*C249)*E247,E247-E250),0)</f>
        <v>0</v>
      </c>
      <c r="D260" s="54"/>
      <c r="E260" s="54"/>
      <c r="F260" s="90"/>
      <c r="G260" s="3"/>
    </row>
    <row r="261" spans="1:7" ht="11.25" hidden="1" customHeight="1">
      <c r="A261" s="51" t="s">
        <v>99</v>
      </c>
      <c r="B261" s="52" t="s">
        <v>35</v>
      </c>
      <c r="C261" s="54">
        <f>IFERROR(IF(C249&gt;=C248,C260,((((C260)-(E247-E250))*(((C248-C249)+1)/(2*(C248-C249))))+(E247-E250))),0)</f>
        <v>0</v>
      </c>
      <c r="D261" s="54"/>
      <c r="E261" s="54"/>
      <c r="F261" s="90"/>
      <c r="G261" s="3"/>
    </row>
    <row r="262" spans="1:7" ht="11.25" hidden="1" customHeight="1" thickBot="1">
      <c r="A262" s="92" t="s">
        <v>100</v>
      </c>
      <c r="B262" s="93" t="s">
        <v>35</v>
      </c>
      <c r="C262" s="93"/>
      <c r="D262" s="94">
        <f>C259*C261/12/100</f>
        <v>0</v>
      </c>
      <c r="E262" s="94">
        <f>D262</f>
        <v>0</v>
      </c>
      <c r="F262" s="90"/>
      <c r="G262" s="3"/>
    </row>
    <row r="263" spans="1:7" ht="11.25" hidden="1" customHeight="1" thickTop="1">
      <c r="A263" s="55" t="s">
        <v>92</v>
      </c>
      <c r="B263" s="56"/>
      <c r="C263" s="56">
        <v>1</v>
      </c>
      <c r="D263" s="57">
        <v>77520</v>
      </c>
      <c r="E263" s="58">
        <f>E262</f>
        <v>0</v>
      </c>
      <c r="F263" s="90"/>
      <c r="G263" s="3"/>
    </row>
    <row r="264" spans="1:7" ht="11.25" hidden="1" customHeight="1">
      <c r="A264" s="66" t="s">
        <v>93</v>
      </c>
      <c r="B264" s="39" t="s">
        <v>59</v>
      </c>
      <c r="C264" s="52">
        <v>1</v>
      </c>
      <c r="D264" s="10">
        <f>E263</f>
        <v>0</v>
      </c>
      <c r="E264" s="58">
        <f>C264*D264</f>
        <v>0</v>
      </c>
      <c r="F264" s="90"/>
      <c r="G264" s="3"/>
    </row>
    <row r="265" spans="1:7" ht="11.25" hidden="1" customHeight="1">
      <c r="C265" s="101"/>
      <c r="D265" s="61" t="s">
        <v>43</v>
      </c>
      <c r="E265" s="62">
        <f>$B$54</f>
        <v>1</v>
      </c>
      <c r="F265" s="88">
        <f>E264*E265</f>
        <v>0</v>
      </c>
      <c r="G265" s="3"/>
    </row>
    <row r="266" spans="1:7" ht="11.25" hidden="1" customHeight="1">
      <c r="G266" s="3"/>
    </row>
    <row r="267" spans="1:7" ht="11.25" hidden="1" customHeight="1">
      <c r="A267" s="3" t="s">
        <v>8</v>
      </c>
      <c r="G267" s="3"/>
    </row>
    <row r="268" spans="1:7" ht="11.25" hidden="1" customHeight="1">
      <c r="A268" s="45" t="s">
        <v>22</v>
      </c>
      <c r="B268" s="45" t="s">
        <v>23</v>
      </c>
      <c r="C268" s="45" t="s">
        <v>15</v>
      </c>
      <c r="D268" s="46" t="s">
        <v>24</v>
      </c>
      <c r="E268" s="46" t="s">
        <v>25</v>
      </c>
      <c r="F268" s="46" t="s">
        <v>26</v>
      </c>
      <c r="G268" s="3"/>
    </row>
    <row r="269" spans="1:7" ht="11.25" hidden="1" customHeight="1">
      <c r="A269" s="47" t="s">
        <v>106</v>
      </c>
      <c r="B269" s="48" t="s">
        <v>59</v>
      </c>
      <c r="C269" s="50">
        <v>0</v>
      </c>
      <c r="D269" s="50">
        <f>0.03*($E$247)</f>
        <v>0</v>
      </c>
      <c r="E269" s="50">
        <f>C269*D269</f>
        <v>0</v>
      </c>
      <c r="G269" s="3"/>
    </row>
    <row r="270" spans="1:7" ht="11.25" hidden="1" customHeight="1">
      <c r="A270" s="51" t="s">
        <v>107</v>
      </c>
      <c r="B270" s="52" t="s">
        <v>59</v>
      </c>
      <c r="C270" s="50">
        <v>0</v>
      </c>
      <c r="D270" s="76">
        <v>94.69</v>
      </c>
      <c r="E270" s="54">
        <f>C270*D270</f>
        <v>0</v>
      </c>
      <c r="G270" s="3"/>
    </row>
    <row r="271" spans="1:7" ht="11.25" hidden="1" customHeight="1">
      <c r="A271" s="51" t="s">
        <v>108</v>
      </c>
      <c r="B271" s="52" t="s">
        <v>59</v>
      </c>
      <c r="C271" s="50">
        <v>0</v>
      </c>
      <c r="D271" s="76">
        <v>2200</v>
      </c>
      <c r="E271" s="54">
        <f>C271*D271</f>
        <v>0</v>
      </c>
      <c r="F271" s="57"/>
      <c r="G271" s="3"/>
    </row>
    <row r="272" spans="1:7" ht="11.25" hidden="1" customHeight="1">
      <c r="A272" s="66" t="s">
        <v>109</v>
      </c>
      <c r="B272" s="39" t="s">
        <v>28</v>
      </c>
      <c r="C272" s="39">
        <v>12</v>
      </c>
      <c r="D272" s="10">
        <f>SUM(E269:E271)</f>
        <v>0</v>
      </c>
      <c r="E272" s="10">
        <f>D272/C272</f>
        <v>0</v>
      </c>
      <c r="G272" s="3"/>
    </row>
    <row r="273" spans="1:10" ht="11.25" hidden="1" customHeight="1">
      <c r="D273" s="61" t="s">
        <v>43</v>
      </c>
      <c r="E273" s="62">
        <f>$B$54</f>
        <v>1</v>
      </c>
      <c r="F273" s="63">
        <f>E272*E273</f>
        <v>0</v>
      </c>
      <c r="G273" s="3"/>
    </row>
    <row r="274" spans="1:10" ht="11.25" hidden="1" customHeight="1">
      <c r="G274" s="3"/>
    </row>
    <row r="275" spans="1:10" ht="11.25" hidden="1" customHeight="1">
      <c r="A275" s="3" t="s">
        <v>9</v>
      </c>
      <c r="B275" s="102"/>
      <c r="G275" s="3"/>
    </row>
    <row r="276" spans="1:10" ht="11.25" hidden="1" customHeight="1">
      <c r="A276" s="66" t="s">
        <v>111</v>
      </c>
      <c r="B276" s="103">
        <v>1500</v>
      </c>
      <c r="G276" s="3"/>
    </row>
    <row r="277" spans="1:10" ht="11.25" hidden="1" customHeight="1">
      <c r="B277" s="102"/>
      <c r="G277" s="3"/>
    </row>
    <row r="278" spans="1:10" ht="11.25" hidden="1" customHeight="1">
      <c r="A278" s="45" t="s">
        <v>22</v>
      </c>
      <c r="B278" s="45" t="s">
        <v>23</v>
      </c>
      <c r="C278" s="45" t="s">
        <v>112</v>
      </c>
      <c r="D278" s="46" t="s">
        <v>24</v>
      </c>
      <c r="E278" s="46" t="s">
        <v>25</v>
      </c>
      <c r="F278" s="46" t="s">
        <v>26</v>
      </c>
      <c r="G278" s="3"/>
    </row>
    <row r="279" spans="1:10" ht="11.25" hidden="1" customHeight="1">
      <c r="A279" s="47" t="s">
        <v>138</v>
      </c>
      <c r="B279" s="48" t="s">
        <v>114</v>
      </c>
      <c r="C279" s="104">
        <v>0</v>
      </c>
      <c r="D279" s="105">
        <v>6.5</v>
      </c>
      <c r="E279" s="50"/>
      <c r="G279" s="3"/>
    </row>
    <row r="280" spans="1:10" ht="11.25" hidden="1" customHeight="1">
      <c r="A280" s="51" t="s">
        <v>139</v>
      </c>
      <c r="B280" s="52" t="s">
        <v>116</v>
      </c>
      <c r="C280" s="70">
        <f>B276</f>
        <v>1500</v>
      </c>
      <c r="D280" s="106" t="str">
        <f>IFERROR(+D279/C279,"-")</f>
        <v>-</v>
      </c>
      <c r="E280" s="54" t="str">
        <f>IFERROR(C280*D280,"-")</f>
        <v>-</v>
      </c>
      <c r="G280" s="3"/>
    </row>
    <row r="281" spans="1:10" ht="11.25" hidden="1" customHeight="1">
      <c r="A281" s="51" t="s">
        <v>117</v>
      </c>
      <c r="B281" s="52" t="s">
        <v>118</v>
      </c>
      <c r="C281" s="107">
        <v>0</v>
      </c>
      <c r="D281" s="76">
        <v>28</v>
      </c>
      <c r="E281" s="54"/>
      <c r="G281" s="3"/>
    </row>
    <row r="282" spans="1:10" ht="11.25" hidden="1" customHeight="1">
      <c r="A282" s="51" t="s">
        <v>119</v>
      </c>
      <c r="B282" s="52" t="s">
        <v>116</v>
      </c>
      <c r="C282" s="70">
        <f>C280</f>
        <v>1500</v>
      </c>
      <c r="D282" s="108">
        <f>+C281*D281/1000</f>
        <v>0</v>
      </c>
      <c r="E282" s="54">
        <f>C282*D282</f>
        <v>0</v>
      </c>
      <c r="G282" s="3"/>
    </row>
    <row r="283" spans="1:10" ht="11.25" hidden="1" customHeight="1">
      <c r="A283" s="66" t="s">
        <v>127</v>
      </c>
      <c r="B283" s="203" t="s">
        <v>128</v>
      </c>
      <c r="C283" s="109"/>
      <c r="D283" s="110">
        <f>IFERROR(D280+D282+D278+D280+D282,0)</f>
        <v>0</v>
      </c>
      <c r="E283" s="54"/>
      <c r="G283" s="3"/>
    </row>
    <row r="284" spans="1:10" ht="11.25" hidden="1" customHeight="1">
      <c r="F284" s="88">
        <f>SUM(E279:E282)</f>
        <v>0</v>
      </c>
      <c r="G284" s="3"/>
    </row>
    <row r="285" spans="1:10" ht="11.25" hidden="1" customHeight="1">
      <c r="G285" s="3"/>
    </row>
    <row r="286" spans="1:10" hidden="1">
      <c r="A286" s="3" t="s">
        <v>10</v>
      </c>
      <c r="I286" s="91"/>
      <c r="J286" s="91"/>
    </row>
    <row r="287" spans="1:10" hidden="1">
      <c r="A287" s="45" t="s">
        <v>22</v>
      </c>
      <c r="B287" s="45" t="s">
        <v>23</v>
      </c>
      <c r="C287" s="45" t="s">
        <v>15</v>
      </c>
      <c r="D287" s="46" t="s">
        <v>24</v>
      </c>
      <c r="E287" s="46" t="s">
        <v>25</v>
      </c>
      <c r="F287" s="46" t="s">
        <v>26</v>
      </c>
      <c r="I287" s="91"/>
      <c r="J287" s="91"/>
    </row>
    <row r="288" spans="1:10" hidden="1">
      <c r="A288" s="47" t="s">
        <v>140</v>
      </c>
      <c r="B288" s="48" t="s">
        <v>128</v>
      </c>
      <c r="C288" s="70">
        <v>0</v>
      </c>
      <c r="D288" s="49">
        <v>0.45</v>
      </c>
      <c r="E288" s="50">
        <f>C288*D288</f>
        <v>0</v>
      </c>
      <c r="I288" s="91"/>
      <c r="J288" s="91"/>
    </row>
    <row r="289" spans="1:10" hidden="1">
      <c r="F289" s="88">
        <f>E288</f>
        <v>0</v>
      </c>
      <c r="I289" s="91"/>
      <c r="J289" s="91"/>
    </row>
    <row r="290" spans="1:10" ht="11.25" hidden="1" customHeight="1">
      <c r="I290" s="91"/>
      <c r="J290" s="91"/>
    </row>
    <row r="291" spans="1:10" hidden="1">
      <c r="A291" s="3" t="s">
        <v>11</v>
      </c>
      <c r="I291" s="91"/>
      <c r="J291" s="91"/>
    </row>
    <row r="292" spans="1:10" hidden="1">
      <c r="A292" s="45" t="s">
        <v>22</v>
      </c>
      <c r="B292" s="45" t="s">
        <v>23</v>
      </c>
      <c r="C292" s="45" t="s">
        <v>15</v>
      </c>
      <c r="D292" s="46" t="s">
        <v>24</v>
      </c>
      <c r="E292" s="46" t="s">
        <v>25</v>
      </c>
      <c r="F292" s="46" t="s">
        <v>26</v>
      </c>
      <c r="I292" s="91"/>
      <c r="J292" s="91"/>
    </row>
    <row r="293" spans="1:10" hidden="1">
      <c r="A293" s="47" t="s">
        <v>141</v>
      </c>
      <c r="B293" s="48" t="s">
        <v>59</v>
      </c>
      <c r="C293" s="111">
        <v>0</v>
      </c>
      <c r="D293" s="49">
        <v>450</v>
      </c>
      <c r="E293" s="50">
        <f>C293*D293</f>
        <v>0</v>
      </c>
      <c r="I293" s="91"/>
      <c r="J293" s="91"/>
    </row>
    <row r="294" spans="1:10" hidden="1">
      <c r="A294" s="114" t="s">
        <v>142</v>
      </c>
      <c r="B294" s="52" t="s">
        <v>136</v>
      </c>
      <c r="C294" s="112">
        <v>50000</v>
      </c>
      <c r="D294" s="54">
        <f>E293</f>
        <v>0</v>
      </c>
      <c r="E294" s="54">
        <f>IFERROR(D294/C294,"-")</f>
        <v>0</v>
      </c>
      <c r="I294" s="91"/>
      <c r="J294" s="91"/>
    </row>
    <row r="295" spans="1:10" hidden="1">
      <c r="A295" s="51" t="s">
        <v>137</v>
      </c>
      <c r="B295" s="52" t="s">
        <v>116</v>
      </c>
      <c r="C295" s="70">
        <f>B276</f>
        <v>1500</v>
      </c>
      <c r="D295" s="54">
        <f>E294</f>
        <v>0</v>
      </c>
      <c r="E295" s="54">
        <f>IFERROR(C295*D295,0)</f>
        <v>0</v>
      </c>
      <c r="I295" s="91"/>
      <c r="J295" s="91"/>
    </row>
    <row r="296" spans="1:10" hidden="1">
      <c r="F296" s="88">
        <f>E295</f>
        <v>0</v>
      </c>
      <c r="I296" s="91"/>
      <c r="J296" s="91"/>
    </row>
    <row r="297" spans="1:10" ht="11.25" customHeight="1">
      <c r="G297" s="3"/>
    </row>
    <row r="298" spans="1:10" ht="11.25" customHeight="1">
      <c r="G298" s="3"/>
    </row>
    <row r="299" spans="1:10">
      <c r="A299" s="77" t="s">
        <v>143</v>
      </c>
      <c r="B299" s="78"/>
      <c r="C299" s="78"/>
      <c r="D299" s="8"/>
      <c r="E299" s="79"/>
      <c r="F299" s="88">
        <f>+SUM(F171:F296)</f>
        <v>161886.44648951964</v>
      </c>
      <c r="G299" s="3"/>
    </row>
    <row r="300" spans="1:10" ht="11.25" customHeight="1">
      <c r="G300" s="3"/>
    </row>
    <row r="301" spans="1:10">
      <c r="A301" s="15" t="s">
        <v>144</v>
      </c>
      <c r="B301" s="15"/>
      <c r="C301" s="15"/>
      <c r="D301" s="14"/>
      <c r="E301" s="14"/>
      <c r="F301" s="57"/>
      <c r="G301" s="3"/>
    </row>
    <row r="302" spans="1:10" ht="11.25" customHeight="1">
      <c r="G302" s="3"/>
    </row>
    <row r="303" spans="1:10">
      <c r="A303" s="45" t="s">
        <v>22</v>
      </c>
      <c r="B303" s="45" t="s">
        <v>23</v>
      </c>
      <c r="C303" s="45" t="s">
        <v>15</v>
      </c>
      <c r="D303" s="46" t="s">
        <v>24</v>
      </c>
      <c r="E303" s="46" t="s">
        <v>25</v>
      </c>
      <c r="F303" s="46" t="s">
        <v>26</v>
      </c>
      <c r="G303" s="3"/>
    </row>
    <row r="304" spans="1:10">
      <c r="A304" s="51" t="s">
        <v>145</v>
      </c>
      <c r="B304" s="52" t="s">
        <v>59</v>
      </c>
      <c r="C304" s="81">
        <v>8.3333333333333301E-2</v>
      </c>
      <c r="D304" s="49">
        <v>36.49</v>
      </c>
      <c r="E304" s="54">
        <f>C304*D304*11</f>
        <v>33.449166666666656</v>
      </c>
      <c r="F304" s="90"/>
      <c r="G304" s="3"/>
    </row>
    <row r="305" spans="1:7">
      <c r="A305" s="51" t="s">
        <v>146</v>
      </c>
      <c r="B305" s="52" t="s">
        <v>59</v>
      </c>
      <c r="C305" s="81">
        <v>8.3333333333333301E-2</v>
      </c>
      <c r="D305" s="49">
        <v>31.98</v>
      </c>
      <c r="E305" s="54">
        <f>C305*D305*11</f>
        <v>29.314999999999991</v>
      </c>
      <c r="F305" s="90"/>
      <c r="G305" s="3"/>
    </row>
    <row r="306" spans="1:7">
      <c r="A306" s="51" t="s">
        <v>147</v>
      </c>
      <c r="B306" s="52" t="s">
        <v>59</v>
      </c>
      <c r="C306" s="81">
        <v>0.16666666666666699</v>
      </c>
      <c r="D306" s="49">
        <v>17.16</v>
      </c>
      <c r="E306" s="54">
        <f>C306*D306*11</f>
        <v>31.460000000000061</v>
      </c>
      <c r="F306" s="90"/>
      <c r="G306" s="3"/>
    </row>
    <row r="307" spans="1:7">
      <c r="A307" s="51" t="s">
        <v>148</v>
      </c>
      <c r="B307" s="52" t="s">
        <v>149</v>
      </c>
      <c r="C307" s="81"/>
      <c r="D307" s="49"/>
      <c r="E307" s="54">
        <f>C307*D307</f>
        <v>0</v>
      </c>
      <c r="F307" s="90"/>
      <c r="G307" s="3"/>
    </row>
    <row r="308" spans="1:7">
      <c r="A308" s="51" t="s">
        <v>150</v>
      </c>
      <c r="B308" s="52" t="s">
        <v>149</v>
      </c>
      <c r="C308" s="81"/>
      <c r="D308" s="49"/>
      <c r="E308" s="54">
        <f>C308*D308</f>
        <v>0</v>
      </c>
      <c r="F308" s="90"/>
      <c r="G308" s="3"/>
    </row>
    <row r="309" spans="1:7">
      <c r="A309" s="15"/>
      <c r="B309" s="15"/>
      <c r="C309" s="15"/>
      <c r="D309" s="15"/>
      <c r="E309" s="14"/>
      <c r="F309" s="88">
        <f>SUM(E304:E308)</f>
        <v>94.224166666666704</v>
      </c>
      <c r="G309" s="3"/>
    </row>
    <row r="310" spans="1:7" ht="11.25" customHeight="1">
      <c r="G310" s="3"/>
    </row>
    <row r="311" spans="1:7">
      <c r="A311" s="77" t="s">
        <v>151</v>
      </c>
      <c r="B311" s="78"/>
      <c r="C311" s="78"/>
      <c r="D311" s="8"/>
      <c r="E311" s="79"/>
      <c r="F311" s="88">
        <f>+F309</f>
        <v>94.224166666666704</v>
      </c>
      <c r="G311" s="3"/>
    </row>
    <row r="312" spans="1:7" ht="11.25" customHeight="1">
      <c r="G312" s="3"/>
    </row>
    <row r="313" spans="1:7">
      <c r="A313" s="15" t="s">
        <v>152</v>
      </c>
      <c r="B313" s="15"/>
      <c r="C313" s="15"/>
      <c r="D313" s="14"/>
      <c r="E313" s="14"/>
      <c r="F313" s="57"/>
    </row>
    <row r="314" spans="1:7" ht="11.25" customHeight="1"/>
    <row r="315" spans="1:7">
      <c r="A315" s="45" t="s">
        <v>22</v>
      </c>
      <c r="B315" s="45" t="s">
        <v>23</v>
      </c>
      <c r="C315" s="45" t="s">
        <v>15</v>
      </c>
      <c r="D315" s="46" t="s">
        <v>24</v>
      </c>
      <c r="E315" s="46" t="s">
        <v>25</v>
      </c>
      <c r="F315" s="46" t="s">
        <v>26</v>
      </c>
    </row>
    <row r="316" spans="1:7">
      <c r="A316" s="51" t="s">
        <v>153</v>
      </c>
      <c r="B316" s="115" t="s">
        <v>149</v>
      </c>
      <c r="C316" s="86">
        <v>6</v>
      </c>
      <c r="D316" s="76">
        <v>75</v>
      </c>
      <c r="E316" s="54">
        <f>+D316*C316</f>
        <v>450</v>
      </c>
      <c r="F316" s="90"/>
    </row>
    <row r="317" spans="1:7">
      <c r="A317" s="51" t="s">
        <v>154</v>
      </c>
      <c r="B317" s="115" t="s">
        <v>28</v>
      </c>
      <c r="C317" s="52">
        <v>60</v>
      </c>
      <c r="D317" s="116">
        <f>SUM(E316:E316)</f>
        <v>450</v>
      </c>
      <c r="E317" s="116">
        <f>+D317/C317</f>
        <v>7.5</v>
      </c>
      <c r="F317" s="90"/>
    </row>
    <row r="318" spans="1:7">
      <c r="A318" s="51" t="s">
        <v>155</v>
      </c>
      <c r="B318" s="52" t="s">
        <v>59</v>
      </c>
      <c r="C318" s="86">
        <f>+C316</f>
        <v>6</v>
      </c>
      <c r="D318" s="76">
        <v>75</v>
      </c>
      <c r="E318" s="54">
        <f>C318*D318</f>
        <v>450</v>
      </c>
      <c r="F318" s="90"/>
    </row>
    <row r="319" spans="1:7">
      <c r="A319" s="51" t="s">
        <v>156</v>
      </c>
      <c r="B319" s="115" t="s">
        <v>28</v>
      </c>
      <c r="C319" s="52">
        <v>1</v>
      </c>
      <c r="D319" s="116">
        <f>+E318</f>
        <v>450</v>
      </c>
      <c r="E319" s="116">
        <f>+D319/C319</f>
        <v>450</v>
      </c>
      <c r="F319" s="90"/>
    </row>
    <row r="320" spans="1:7">
      <c r="A320" s="64"/>
      <c r="B320" s="64"/>
      <c r="C320" s="64"/>
      <c r="D320" s="61" t="s">
        <v>43</v>
      </c>
      <c r="E320" s="62">
        <f>$B$54</f>
        <v>1</v>
      </c>
      <c r="F320" s="88">
        <f>(E317+E319)*E320</f>
        <v>457.5</v>
      </c>
    </row>
    <row r="321" spans="1:64" ht="11.25" customHeight="1">
      <c r="G321" s="117"/>
      <c r="H321" s="72"/>
      <c r="I321" s="72"/>
      <c r="J321" s="72"/>
      <c r="K321" s="72"/>
      <c r="L321" s="72"/>
      <c r="M321" s="72"/>
      <c r="N321" s="72"/>
      <c r="O321" s="72"/>
      <c r="P321" s="72"/>
      <c r="Q321" s="72"/>
      <c r="R321" s="72"/>
      <c r="S321" s="72"/>
      <c r="T321" s="72"/>
      <c r="U321" s="72"/>
      <c r="V321" s="72"/>
      <c r="W321" s="72"/>
      <c r="X321" s="72"/>
      <c r="Y321" s="72"/>
      <c r="Z321" s="72"/>
      <c r="AA321" s="72"/>
      <c r="AB321" s="72"/>
      <c r="AC321" s="72"/>
      <c r="AD321" s="72"/>
      <c r="AE321" s="72"/>
      <c r="AF321" s="72"/>
      <c r="AG321" s="72"/>
      <c r="AH321" s="72"/>
      <c r="AI321" s="72"/>
      <c r="AJ321" s="72"/>
      <c r="AK321" s="72"/>
      <c r="AL321" s="72"/>
      <c r="AM321" s="72"/>
      <c r="AN321" s="72"/>
      <c r="AO321" s="72"/>
      <c r="AP321" s="72"/>
      <c r="AQ321" s="72"/>
      <c r="AR321" s="72"/>
      <c r="AS321" s="72"/>
      <c r="AT321" s="72"/>
      <c r="AU321" s="72"/>
      <c r="AV321" s="72"/>
      <c r="AW321" s="72"/>
      <c r="AX321" s="72"/>
      <c r="AY321" s="72"/>
      <c r="AZ321" s="72"/>
      <c r="BA321" s="72"/>
      <c r="BB321" s="72"/>
      <c r="BC321" s="72"/>
      <c r="BD321" s="72"/>
      <c r="BE321" s="72"/>
      <c r="BF321" s="72"/>
      <c r="BG321" s="72"/>
      <c r="BH321" s="72"/>
      <c r="BI321" s="72"/>
      <c r="BJ321" s="72"/>
      <c r="BK321" s="72"/>
      <c r="BL321" s="72"/>
    </row>
    <row r="322" spans="1:64">
      <c r="A322" s="77" t="s">
        <v>157</v>
      </c>
      <c r="B322" s="78"/>
      <c r="C322" s="78"/>
      <c r="D322" s="8"/>
      <c r="E322" s="79"/>
      <c r="F322" s="88">
        <f>+F320</f>
        <v>457.5</v>
      </c>
    </row>
    <row r="323" spans="1:64" ht="11.25" customHeight="1"/>
    <row r="324" spans="1:64" ht="17.25" customHeight="1">
      <c r="A324" s="77" t="s">
        <v>158</v>
      </c>
      <c r="B324" s="40"/>
      <c r="C324" s="40"/>
      <c r="D324" s="29"/>
      <c r="E324" s="87"/>
      <c r="F324" s="75">
        <f>+F129+F163+F299+F311+F322</f>
        <v>503084.69730794971</v>
      </c>
    </row>
    <row r="325" spans="1:64" ht="11.25" customHeight="1"/>
    <row r="326" spans="1:64">
      <c r="A326" s="15" t="s">
        <v>159</v>
      </c>
    </row>
    <row r="327" spans="1:64" ht="11.25" customHeight="1"/>
    <row r="328" spans="1:64">
      <c r="A328" s="45" t="s">
        <v>22</v>
      </c>
      <c r="B328" s="45" t="s">
        <v>23</v>
      </c>
      <c r="C328" s="45" t="s">
        <v>15</v>
      </c>
      <c r="D328" s="46" t="s">
        <v>24</v>
      </c>
      <c r="E328" s="46" t="s">
        <v>25</v>
      </c>
      <c r="F328" s="46" t="s">
        <v>26</v>
      </c>
    </row>
    <row r="329" spans="1:64">
      <c r="A329" s="47" t="s">
        <v>160</v>
      </c>
      <c r="B329" s="48" t="s">
        <v>4</v>
      </c>
      <c r="C329" s="59">
        <f>'4_BDI'!C20*100</f>
        <v>24.89</v>
      </c>
      <c r="D329" s="50">
        <f>+F324</f>
        <v>503084.69730794971</v>
      </c>
      <c r="E329" s="50">
        <f>C329*D329/100</f>
        <v>125217.78115994869</v>
      </c>
    </row>
    <row r="330" spans="1:64">
      <c r="F330" s="88">
        <f>+E329</f>
        <v>125217.78115994869</v>
      </c>
    </row>
    <row r="331" spans="1:64" ht="11.25" customHeight="1"/>
    <row r="332" spans="1:64">
      <c r="A332" s="77" t="s">
        <v>161</v>
      </c>
      <c r="B332" s="40"/>
      <c r="C332" s="40"/>
      <c r="D332" s="29"/>
      <c r="E332" s="87"/>
      <c r="F332" s="75">
        <f>F330</f>
        <v>125217.78115994869</v>
      </c>
    </row>
    <row r="333" spans="1:64">
      <c r="A333" s="15"/>
      <c r="B333" s="15"/>
      <c r="C333" s="15"/>
      <c r="D333" s="14"/>
      <c r="E333" s="14"/>
      <c r="F333" s="270"/>
    </row>
    <row r="334" spans="1:64" ht="11.25" customHeight="1"/>
    <row r="335" spans="1:64" ht="24.75" customHeight="1">
      <c r="A335" s="77" t="s">
        <v>162</v>
      </c>
      <c r="B335" s="40"/>
      <c r="C335" s="40"/>
      <c r="D335" s="29"/>
      <c r="E335" s="87"/>
      <c r="F335" s="75">
        <f>F324+F332</f>
        <v>628302.47846789844</v>
      </c>
      <c r="H335" s="217">
        <f>F335/11</f>
        <v>57118.407133445311</v>
      </c>
    </row>
    <row r="336" spans="1:64" ht="12.6" customHeight="1">
      <c r="A336" s="15"/>
      <c r="B336" s="15"/>
      <c r="C336" s="15"/>
      <c r="D336" s="14"/>
      <c r="E336" s="14"/>
      <c r="F336" s="14"/>
    </row>
    <row r="337" spans="1:64" ht="9.75" customHeight="1">
      <c r="A337" s="119"/>
      <c r="B337" s="2"/>
      <c r="C337" s="2"/>
      <c r="G337" s="4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  <c r="AF337" s="5"/>
      <c r="AG337" s="5"/>
      <c r="AH337" s="5"/>
      <c r="AI337" s="5"/>
      <c r="AJ337" s="5"/>
      <c r="AK337" s="5"/>
      <c r="AL337" s="5"/>
      <c r="AM337" s="5"/>
      <c r="AN337" s="5"/>
      <c r="AO337" s="5"/>
      <c r="AP337" s="5"/>
      <c r="AQ337" s="5"/>
      <c r="AR337" s="5"/>
      <c r="AS337" s="5"/>
      <c r="AT337" s="5"/>
      <c r="AU337" s="5"/>
      <c r="AV337" s="5"/>
      <c r="AW337" s="5"/>
      <c r="AX337" s="5"/>
      <c r="AY337" s="5"/>
      <c r="AZ337" s="5"/>
      <c r="BA337" s="5"/>
      <c r="BB337" s="5"/>
      <c r="BC337" s="5"/>
      <c r="BD337" s="5"/>
      <c r="BE337" s="5"/>
      <c r="BF337" s="5"/>
      <c r="BG337" s="5"/>
      <c r="BH337" s="5"/>
      <c r="BI337" s="5"/>
      <c r="BJ337" s="5"/>
      <c r="BK337" s="5"/>
      <c r="BL337" s="5"/>
    </row>
    <row r="338" spans="1:64" ht="15">
      <c r="A338" s="319" t="s">
        <v>328</v>
      </c>
      <c r="B338" s="320"/>
      <c r="C338" s="321"/>
      <c r="D338" s="237">
        <f>MemoriaCalculo!D24</f>
        <v>29687.106343172254</v>
      </c>
      <c r="E338" s="237" t="s">
        <v>331</v>
      </c>
      <c r="G338" s="4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  <c r="AD338" s="5"/>
      <c r="AE338" s="5"/>
      <c r="AF338" s="5"/>
      <c r="AG338" s="5"/>
      <c r="AH338" s="5"/>
      <c r="AI338" s="5"/>
      <c r="AJ338" s="5"/>
      <c r="AK338" s="5"/>
      <c r="AL338" s="5"/>
      <c r="AM338" s="5"/>
      <c r="AN338" s="5"/>
      <c r="AO338" s="5"/>
      <c r="AP338" s="5"/>
      <c r="AQ338" s="5"/>
      <c r="AR338" s="5"/>
      <c r="AS338" s="5"/>
      <c r="AT338" s="5"/>
      <c r="AU338" s="5"/>
      <c r="AV338" s="5"/>
      <c r="AW338" s="5"/>
      <c r="AX338" s="5"/>
      <c r="AY338" s="5"/>
      <c r="AZ338" s="5"/>
      <c r="BA338" s="5"/>
      <c r="BB338" s="5"/>
      <c r="BC338" s="5"/>
      <c r="BD338" s="5"/>
      <c r="BE338" s="5"/>
      <c r="BF338" s="5"/>
      <c r="BG338" s="5"/>
      <c r="BH338" s="5"/>
      <c r="BI338" s="5"/>
      <c r="BJ338" s="5"/>
      <c r="BK338" s="5"/>
      <c r="BL338" s="5"/>
    </row>
    <row r="339" spans="1:64" ht="9.75" customHeight="1">
      <c r="A339" s="119"/>
      <c r="B339" s="2"/>
      <c r="C339" s="2"/>
      <c r="G339" s="4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  <c r="AD339" s="5"/>
      <c r="AE339" s="5"/>
      <c r="AF339" s="5"/>
      <c r="AG339" s="5"/>
      <c r="AH339" s="5"/>
      <c r="AI339" s="5"/>
      <c r="AJ339" s="5"/>
      <c r="AK339" s="5"/>
      <c r="AL339" s="5"/>
      <c r="AM339" s="5"/>
      <c r="AN339" s="5"/>
      <c r="AO339" s="5"/>
      <c r="AP339" s="5"/>
      <c r="AQ339" s="5"/>
      <c r="AR339" s="5"/>
      <c r="AS339" s="5"/>
      <c r="AT339" s="5"/>
      <c r="AU339" s="5"/>
      <c r="AV339" s="5"/>
      <c r="AW339" s="5"/>
      <c r="AX339" s="5"/>
      <c r="AY339" s="5"/>
      <c r="AZ339" s="5"/>
      <c r="BA339" s="5"/>
      <c r="BB339" s="5"/>
      <c r="BC339" s="5"/>
      <c r="BD339" s="5"/>
      <c r="BE339" s="5"/>
      <c r="BF339" s="5"/>
      <c r="BG339" s="5"/>
      <c r="BH339" s="5"/>
      <c r="BI339" s="5"/>
      <c r="BJ339" s="5"/>
      <c r="BK339" s="5"/>
      <c r="BL339" s="5"/>
    </row>
    <row r="340" spans="1:64" ht="20.25" customHeight="1">
      <c r="A340" s="322" t="s">
        <v>329</v>
      </c>
      <c r="B340" s="323"/>
      <c r="C340" s="323"/>
      <c r="D340" s="324"/>
      <c r="E340" s="237" t="s">
        <v>330</v>
      </c>
      <c r="F340" s="268">
        <f>IFERROR(F335/D338,"-")</f>
        <v>21.164153596007242</v>
      </c>
    </row>
    <row r="344" spans="1:64">
      <c r="A344" s="230" t="s">
        <v>360</v>
      </c>
      <c r="B344" s="230"/>
      <c r="C344" s="230"/>
      <c r="D344" s="304"/>
    </row>
    <row r="345" spans="1:64">
      <c r="A345" s="230" t="s">
        <v>361</v>
      </c>
      <c r="B345" s="230"/>
      <c r="C345" s="230"/>
      <c r="D345" s="304"/>
    </row>
    <row r="369" spans="4:7" ht="9" customHeight="1">
      <c r="D369" s="3"/>
      <c r="E369" s="3"/>
      <c r="F369" s="3"/>
      <c r="G369" s="3"/>
    </row>
  </sheetData>
  <mergeCells count="10">
    <mergeCell ref="A338:C338"/>
    <mergeCell ref="A340:D340"/>
    <mergeCell ref="A48:D48"/>
    <mergeCell ref="A126:F126"/>
    <mergeCell ref="A1:F5"/>
    <mergeCell ref="A6:F9"/>
    <mergeCell ref="A10:F10"/>
    <mergeCell ref="A19:C19"/>
    <mergeCell ref="A41:E41"/>
    <mergeCell ref="A42:D42"/>
  </mergeCells>
  <hyperlinks>
    <hyperlink ref="A169" location="AbaDeprec" display="3.1.1. Depreciação" xr:uid="{00000000-0004-0000-0100-000000000000}"/>
    <hyperlink ref="A185" location="AbaRemun" display="3.1.2. Remuneração do Capital" xr:uid="{00000000-0004-0000-0100-000001000000}"/>
  </hyperlinks>
  <pageMargins left="1.299212598425197" right="0.51181102362204722" top="0.94488188976377963" bottom="1.0236220472440944" header="0.74803149606299213" footer="0.31496062992125984"/>
  <pageSetup paperSize="9" fitToHeight="0" orientation="portrait" r:id="rId1"/>
  <headerFooter alignWithMargins="0">
    <oddFooter>&amp;R&amp;"Arial3,Regular"&amp;P de &amp;N</oddFooter>
  </headerFooter>
  <rowBreaks count="4" manualBreakCount="4">
    <brk id="70" max="5" man="1"/>
    <brk id="149" max="5" man="1"/>
    <brk id="209" max="5" man="1"/>
    <brk id="325" max="5" man="1"/>
  </row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957102-F086-47E4-A2E4-827271966521}">
  <sheetPr>
    <pageSetUpPr fitToPage="1"/>
  </sheetPr>
  <dimension ref="A1:BL338"/>
  <sheetViews>
    <sheetView view="pageBreakPreview" topLeftCell="A38" zoomScaleNormal="100" zoomScaleSheetLayoutView="100" workbookViewId="0">
      <selection activeCell="D41" sqref="D41"/>
    </sheetView>
  </sheetViews>
  <sheetFormatPr defaultRowHeight="12.75"/>
  <cols>
    <col min="1" max="1" width="42.7109375" style="3" customWidth="1"/>
    <col min="2" max="2" width="13.7109375" style="3" customWidth="1"/>
    <col min="3" max="3" width="11.42578125" style="3" customWidth="1"/>
    <col min="4" max="4" width="12.7109375" style="2" customWidth="1"/>
    <col min="5" max="6" width="13.42578125" style="2" customWidth="1"/>
    <col min="7" max="7" width="19" style="2" customWidth="1"/>
    <col min="8" max="8" width="15.85546875" style="3" customWidth="1"/>
    <col min="9" max="9" width="15" style="3" customWidth="1"/>
    <col min="10" max="10" width="13.7109375" style="3" customWidth="1"/>
    <col min="11" max="64" width="9.42578125" style="3" customWidth="1"/>
    <col min="65" max="65" width="8.85546875" customWidth="1"/>
  </cols>
  <sheetData>
    <row r="1" spans="1:64">
      <c r="A1" s="326" t="s">
        <v>0</v>
      </c>
      <c r="B1" s="326"/>
      <c r="C1" s="326"/>
      <c r="D1" s="326"/>
      <c r="E1" s="326"/>
      <c r="F1" s="326"/>
    </row>
    <row r="2" spans="1:64" ht="18" customHeight="1">
      <c r="A2" s="326"/>
      <c r="B2" s="326"/>
      <c r="C2" s="326"/>
      <c r="D2" s="326"/>
      <c r="E2" s="326"/>
      <c r="F2" s="326"/>
    </row>
    <row r="3" spans="1:64">
      <c r="A3" s="326"/>
      <c r="B3" s="326"/>
      <c r="C3" s="326"/>
      <c r="D3" s="326"/>
      <c r="E3" s="326"/>
      <c r="F3" s="326"/>
    </row>
    <row r="4" spans="1:64" ht="35.25" customHeight="1">
      <c r="A4" s="326"/>
      <c r="B4" s="326"/>
      <c r="C4" s="326"/>
      <c r="D4" s="326"/>
      <c r="E4" s="326"/>
      <c r="F4" s="326"/>
    </row>
    <row r="5" spans="1:64" ht="0.75" customHeight="1">
      <c r="A5" s="326"/>
      <c r="B5" s="326"/>
      <c r="C5" s="326"/>
      <c r="D5" s="326"/>
      <c r="E5" s="326"/>
      <c r="F5" s="326"/>
      <c r="G5" s="4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</row>
    <row r="6" spans="1:64" ht="32.25" customHeight="1">
      <c r="A6" s="327" t="s">
        <v>334</v>
      </c>
      <c r="B6" s="327"/>
      <c r="C6" s="327"/>
      <c r="D6" s="327"/>
      <c r="E6" s="327"/>
      <c r="F6" s="327"/>
      <c r="G6" s="4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</row>
    <row r="7" spans="1:64" ht="8.25" customHeight="1">
      <c r="A7" s="327"/>
      <c r="B7" s="327"/>
      <c r="C7" s="327"/>
      <c r="D7" s="327"/>
      <c r="E7" s="327"/>
      <c r="F7" s="327"/>
      <c r="G7" s="121"/>
      <c r="H7" s="120"/>
      <c r="I7" s="120"/>
      <c r="J7" s="120"/>
      <c r="K7" s="120"/>
      <c r="L7" s="120"/>
      <c r="M7" s="120"/>
      <c r="N7" s="120"/>
      <c r="O7" s="120"/>
      <c r="P7" s="120"/>
      <c r="Q7" s="120"/>
      <c r="R7" s="120"/>
      <c r="S7" s="120"/>
      <c r="T7" s="120"/>
      <c r="U7" s="120"/>
      <c r="V7" s="120"/>
      <c r="W7" s="120"/>
      <c r="X7" s="120"/>
      <c r="Y7" s="120"/>
      <c r="Z7" s="120"/>
      <c r="AA7" s="120"/>
      <c r="AB7" s="120"/>
      <c r="AC7" s="120"/>
      <c r="AD7" s="120"/>
      <c r="AE7" s="120"/>
      <c r="AF7" s="120"/>
      <c r="AG7" s="120"/>
      <c r="AH7" s="120"/>
      <c r="AI7" s="120"/>
      <c r="AJ7" s="120"/>
      <c r="AK7" s="120"/>
      <c r="AL7" s="120"/>
      <c r="AM7" s="120"/>
      <c r="AN7" s="120"/>
      <c r="AO7" s="120"/>
      <c r="AP7" s="120"/>
      <c r="AQ7" s="120"/>
      <c r="AR7" s="120"/>
      <c r="AS7" s="120"/>
      <c r="AT7" s="120"/>
      <c r="AU7" s="120"/>
      <c r="AV7" s="120"/>
      <c r="AW7" s="120"/>
      <c r="AX7" s="120"/>
      <c r="AY7" s="120"/>
      <c r="AZ7" s="120"/>
      <c r="BA7" s="120"/>
      <c r="BB7" s="120"/>
      <c r="BC7" s="120"/>
      <c r="BD7" s="120"/>
      <c r="BE7" s="120"/>
      <c r="BF7" s="120"/>
      <c r="BG7" s="120"/>
      <c r="BH7" s="120"/>
      <c r="BI7" s="120"/>
      <c r="BJ7" s="120"/>
      <c r="BK7" s="120"/>
      <c r="BL7" s="120"/>
    </row>
    <row r="8" spans="1:64" ht="7.5" hidden="1" customHeight="1">
      <c r="A8" s="327"/>
      <c r="B8" s="327"/>
      <c r="C8" s="327"/>
      <c r="D8" s="327"/>
      <c r="E8" s="327"/>
      <c r="F8" s="327"/>
      <c r="G8" s="4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</row>
    <row r="9" spans="1:64" ht="15.75" customHeight="1">
      <c r="A9" s="328" t="s">
        <v>1</v>
      </c>
      <c r="B9" s="328"/>
      <c r="C9" s="328"/>
      <c r="D9" s="328"/>
      <c r="E9" s="328"/>
      <c r="F9" s="328"/>
      <c r="G9" s="4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</row>
    <row r="10" spans="1:64" ht="15.75" customHeight="1">
      <c r="A10" s="6" t="s">
        <v>2</v>
      </c>
      <c r="B10" s="7"/>
      <c r="C10" s="7"/>
      <c r="D10" s="8"/>
      <c r="E10" s="9" t="s">
        <v>3</v>
      </c>
      <c r="F10" s="10" t="s">
        <v>4</v>
      </c>
      <c r="G10" s="4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</row>
    <row r="11" spans="1:64" ht="15.75" customHeight="1">
      <c r="A11" s="9" t="str">
        <f>A47</f>
        <v>1. Mão-de-obra</v>
      </c>
      <c r="B11" s="11"/>
      <c r="C11" s="8"/>
      <c r="D11" s="8"/>
      <c r="E11" s="12">
        <f>+F104</f>
        <v>38745.466591289121</v>
      </c>
      <c r="F11" s="13">
        <f t="shared" ref="F11:F28" si="0">IFERROR(E11/$E$29,0)</f>
        <v>0.46354477034366104</v>
      </c>
      <c r="G11" s="14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</row>
    <row r="12" spans="1:64" ht="15.75" customHeight="1">
      <c r="A12" s="16" t="str">
        <f>A49</f>
        <v>1.1. Coletor Turno Dia</v>
      </c>
      <c r="B12" s="17"/>
      <c r="C12" s="7"/>
      <c r="D12" s="7"/>
      <c r="E12" s="18">
        <f>F60</f>
        <v>21495.220653621305</v>
      </c>
      <c r="F12" s="19">
        <f t="shared" si="0"/>
        <v>0.25716549568174113</v>
      </c>
      <c r="G12" s="4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</row>
    <row r="13" spans="1:64" ht="15.75" customHeight="1">
      <c r="A13" s="16" t="str">
        <f>A63</f>
        <v>1.2. Motorista Turno do Dia</v>
      </c>
      <c r="B13" s="17"/>
      <c r="C13" s="7"/>
      <c r="D13" s="7"/>
      <c r="E13" s="18">
        <f>F76</f>
        <v>13124.171537667811</v>
      </c>
      <c r="F13" s="19">
        <f t="shared" si="0"/>
        <v>0.15701555863433017</v>
      </c>
      <c r="G13" s="4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</row>
    <row r="14" spans="1:64" ht="15.75" customHeight="1">
      <c r="A14" s="16" t="str">
        <f>A80</f>
        <v>1.3. Vale Transporte</v>
      </c>
      <c r="B14" s="17"/>
      <c r="C14" s="7"/>
      <c r="D14" s="7"/>
      <c r="E14" s="18">
        <f>F87</f>
        <v>973.51440000000025</v>
      </c>
      <c r="F14" s="19">
        <f t="shared" si="0"/>
        <v>1.1646975728399216E-2</v>
      </c>
      <c r="G14" s="4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</row>
    <row r="15" spans="1:64" ht="15.75" customHeight="1">
      <c r="A15" s="16" t="str">
        <f>A89</f>
        <v>1.4. Vale-refeição (diário)</v>
      </c>
      <c r="B15" s="17"/>
      <c r="C15" s="7"/>
      <c r="D15" s="7"/>
      <c r="E15" s="18">
        <f>F94</f>
        <v>2931.76</v>
      </c>
      <c r="F15" s="19">
        <f t="shared" si="0"/>
        <v>3.507512324572875E-2</v>
      </c>
      <c r="G15" s="4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</row>
    <row r="16" spans="1:64" ht="15.75" customHeight="1">
      <c r="A16" s="16" t="str">
        <f>A96</f>
        <v>1.5. Auxílio Alimentação (mensal)</v>
      </c>
      <c r="B16" s="17"/>
      <c r="C16" s="7"/>
      <c r="D16" s="7"/>
      <c r="E16" s="18">
        <f>F100</f>
        <v>220.8</v>
      </c>
      <c r="F16" s="19">
        <f t="shared" si="0"/>
        <v>2.6416170534617118E-3</v>
      </c>
      <c r="G16" s="4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</row>
    <row r="17" spans="1:64" ht="15.75" customHeight="1">
      <c r="A17" s="329" t="str">
        <f>A106</f>
        <v>2. Uniformes e Equipamentos de Proteção Individual</v>
      </c>
      <c r="B17" s="329"/>
      <c r="C17" s="329"/>
      <c r="D17" s="8"/>
      <c r="E17" s="12">
        <f>+F136</f>
        <v>1231.9649999999999</v>
      </c>
      <c r="F17" s="13">
        <f t="shared" si="0"/>
        <v>1.4739038737626619E-2</v>
      </c>
      <c r="G17" s="14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</row>
    <row r="18" spans="1:64" ht="15.75" customHeight="1">
      <c r="A18" s="20" t="str">
        <f>A138</f>
        <v>3. Veículos e Equipamentos</v>
      </c>
      <c r="B18" s="21"/>
      <c r="C18" s="8"/>
      <c r="D18" s="8"/>
      <c r="E18" s="12">
        <f>+F217</f>
        <v>26779.965350833336</v>
      </c>
      <c r="F18" s="13">
        <f t="shared" si="0"/>
        <v>0.32039136395776763</v>
      </c>
      <c r="G18" s="14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</row>
    <row r="19" spans="1:64" ht="15.75" customHeight="1">
      <c r="A19" s="22" t="str">
        <f>A140</f>
        <v>3.1. Veículo Coletor Baú Basculante 25 m³</v>
      </c>
      <c r="B19" s="23"/>
      <c r="C19" s="7"/>
      <c r="D19" s="7"/>
      <c r="E19" s="18">
        <f>SUM(E20:E25)</f>
        <v>26779.965350833336</v>
      </c>
      <c r="F19" s="24">
        <f t="shared" si="0"/>
        <v>0.32039136395776763</v>
      </c>
      <c r="G19" s="4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</row>
    <row r="20" spans="1:64" ht="15.75" customHeight="1">
      <c r="A20" s="22" t="str">
        <f>A142</f>
        <v>3.1.1. Depreciação</v>
      </c>
      <c r="B20" s="23"/>
      <c r="C20" s="7"/>
      <c r="D20" s="7"/>
      <c r="E20" s="18">
        <f>F156</f>
        <v>6023.2892316666675</v>
      </c>
      <c r="F20" s="24">
        <f t="shared" si="0"/>
        <v>7.2061700870937315E-2</v>
      </c>
      <c r="G20" s="4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</row>
    <row r="21" spans="1:64" ht="15.75" customHeight="1">
      <c r="A21" s="22" t="str">
        <f>A158</f>
        <v>3.1.2. Remuneração do Capital</v>
      </c>
      <c r="B21" s="23"/>
      <c r="C21" s="7"/>
      <c r="D21" s="7"/>
      <c r="E21" s="18">
        <f>F172</f>
        <v>4826.5786525000003</v>
      </c>
      <c r="F21" s="24">
        <f t="shared" si="0"/>
        <v>5.7744440572093519E-2</v>
      </c>
      <c r="G21" s="4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</row>
    <row r="22" spans="1:64" ht="15.75" customHeight="1">
      <c r="A22" s="22" t="str">
        <f>A174</f>
        <v>3.1.3. Impostos e Seguros</v>
      </c>
      <c r="B22" s="23"/>
      <c r="C22" s="7"/>
      <c r="D22" s="7"/>
      <c r="E22" s="18">
        <f>F180</f>
        <v>1016.6366666666668</v>
      </c>
      <c r="F22" s="24">
        <f t="shared" si="0"/>
        <v>1.2162883857976162E-2</v>
      </c>
      <c r="G22" s="4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</row>
    <row r="23" spans="1:64" ht="15.75" customHeight="1">
      <c r="A23" s="22" t="str">
        <f>A182</f>
        <v>3.1.4. Consumos</v>
      </c>
      <c r="B23" s="23"/>
      <c r="C23" s="7"/>
      <c r="D23" s="7"/>
      <c r="E23" s="18">
        <f>F198</f>
        <v>10324.810799999999</v>
      </c>
      <c r="F23" s="24">
        <f t="shared" si="0"/>
        <v>0.12352443968770678</v>
      </c>
      <c r="G23" s="4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</row>
    <row r="24" spans="1:64" ht="15.75" customHeight="1">
      <c r="A24" s="22" t="str">
        <f>A200</f>
        <v>3.1.5. Manutenção</v>
      </c>
      <c r="B24" s="23"/>
      <c r="C24" s="7"/>
      <c r="D24" s="7"/>
      <c r="E24" s="18">
        <f>F203</f>
        <v>3847.5</v>
      </c>
      <c r="F24" s="24">
        <f t="shared" si="0"/>
        <v>4.6030894987291376E-2</v>
      </c>
      <c r="G24" s="4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</row>
    <row r="25" spans="1:64" ht="15.75" customHeight="1">
      <c r="A25" s="22" t="str">
        <f>A205</f>
        <v>3.1.6. Pneus</v>
      </c>
      <c r="B25" s="23"/>
      <c r="C25" s="7"/>
      <c r="D25" s="7"/>
      <c r="E25" s="18">
        <f>F212</f>
        <v>741.15</v>
      </c>
      <c r="F25" s="24">
        <f t="shared" si="0"/>
        <v>8.8670039817624439E-3</v>
      </c>
      <c r="G25" s="4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</row>
    <row r="26" spans="1:64" ht="15.75" customHeight="1">
      <c r="A26" s="20" t="str">
        <f>A219</f>
        <v>4. Ferramentas e Materiais de Consumo</v>
      </c>
      <c r="B26" s="21"/>
      <c r="C26" s="8"/>
      <c r="D26" s="8"/>
      <c r="E26" s="12">
        <f>+F229</f>
        <v>17.131666666666675</v>
      </c>
      <c r="F26" s="13">
        <f t="shared" si="0"/>
        <v>2.0496061060184894E-4</v>
      </c>
      <c r="G26" s="14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</row>
    <row r="27" spans="1:64" ht="15.75" customHeight="1">
      <c r="A27" s="20" t="str">
        <f>A231</f>
        <v>5. Monitoramento da Frota</v>
      </c>
      <c r="B27" s="21"/>
      <c r="C27" s="8"/>
      <c r="D27" s="8"/>
      <c r="E27" s="12">
        <f>+F240</f>
        <v>152.5</v>
      </c>
      <c r="F27" s="13">
        <f t="shared" si="0"/>
        <v>1.8244864160005029E-3</v>
      </c>
      <c r="G27" s="14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</row>
    <row r="28" spans="1:64" ht="15.75" customHeight="1">
      <c r="A28" s="20" t="str">
        <f>A244</f>
        <v>6. Benefícios e Despesas Indiretas - BDI</v>
      </c>
      <c r="B28" s="21"/>
      <c r="C28" s="8"/>
      <c r="D28" s="8"/>
      <c r="E28" s="12">
        <f>+F250</f>
        <v>16658.137420727617</v>
      </c>
      <c r="F28" s="13">
        <f t="shared" si="0"/>
        <v>0.19929537993434224</v>
      </c>
      <c r="G28" s="14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</row>
    <row r="29" spans="1:64" ht="15.75" customHeight="1">
      <c r="A29" s="20" t="s">
        <v>12</v>
      </c>
      <c r="B29" s="21"/>
      <c r="C29" s="8"/>
      <c r="D29" s="8"/>
      <c r="E29" s="25">
        <f>E11+E17+E18+E26+E27+E28</f>
        <v>83585.166029516753</v>
      </c>
      <c r="F29" s="26">
        <f>F11+F17+F18+F26+F27+F28</f>
        <v>0.99999999999999989</v>
      </c>
      <c r="G29" s="4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</row>
    <row r="30" spans="1:64" ht="5.25" customHeight="1"/>
    <row r="31" spans="1:64" ht="0.75" customHeight="1"/>
    <row r="32" spans="1:64" ht="15" customHeight="1">
      <c r="A32" s="328" t="s">
        <v>13</v>
      </c>
      <c r="B32" s="328"/>
      <c r="C32" s="328"/>
      <c r="D32" s="328"/>
      <c r="E32" s="328"/>
      <c r="G32" s="4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</row>
    <row r="33" spans="1:64" ht="15" customHeight="1">
      <c r="A33" s="330" t="s">
        <v>14</v>
      </c>
      <c r="B33" s="330"/>
      <c r="C33" s="330"/>
      <c r="D33" s="330"/>
      <c r="E33" s="27" t="s">
        <v>15</v>
      </c>
      <c r="G33" s="4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</row>
    <row r="34" spans="1:64" ht="15" customHeight="1">
      <c r="A34" s="28" t="str">
        <f>+A49</f>
        <v>1.1. Coletor Turno Dia</v>
      </c>
      <c r="B34" s="29"/>
      <c r="C34" s="29"/>
      <c r="D34" s="30"/>
      <c r="E34" s="31">
        <v>4</v>
      </c>
      <c r="G34" s="4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</row>
    <row r="35" spans="1:64" ht="15" customHeight="1">
      <c r="A35" s="28" t="str">
        <f>+A63</f>
        <v>1.2. Motorista Turno do Dia</v>
      </c>
      <c r="B35" s="29"/>
      <c r="C35" s="29"/>
      <c r="D35" s="30"/>
      <c r="E35" s="31">
        <v>2</v>
      </c>
      <c r="G35" s="4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</row>
    <row r="36" spans="1:64" ht="15" hidden="1" customHeight="1">
      <c r="A36" s="28" t="s">
        <v>282</v>
      </c>
      <c r="B36" s="29"/>
      <c r="C36" s="29"/>
      <c r="D36" s="30"/>
      <c r="E36" s="31">
        <v>0</v>
      </c>
      <c r="G36" s="4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</row>
    <row r="37" spans="1:64" ht="15" customHeight="1">
      <c r="A37" s="32" t="s">
        <v>16</v>
      </c>
      <c r="B37" s="33"/>
      <c r="C37" s="33"/>
      <c r="D37" s="349">
        <f>SUM(D35:D36,D9,D11,D13,D15,D17,D19,D21,D23,D25,D27,D29,D31,D33)+0.01</f>
        <v>0.01</v>
      </c>
      <c r="E37" s="35">
        <f>SUM(E9,E11,E13,E15,E17,E19,E21,E23,E25,E27,E29,E31,E33,E35)+0.01</f>
        <v>182445.54396180704</v>
      </c>
      <c r="G37" s="4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</row>
    <row r="38" spans="1:64" ht="15" customHeight="1">
      <c r="A38" s="36"/>
      <c r="B38" s="37"/>
      <c r="C38" s="2"/>
      <c r="E38" s="38"/>
      <c r="G38" s="4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</row>
    <row r="39" spans="1:64" ht="15" customHeight="1">
      <c r="A39" s="325" t="s">
        <v>17</v>
      </c>
      <c r="B39" s="325"/>
      <c r="C39" s="325"/>
      <c r="D39" s="325"/>
      <c r="E39" s="27" t="s">
        <v>15</v>
      </c>
      <c r="F39" s="3"/>
      <c r="G39" s="4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</row>
    <row r="40" spans="1:64" ht="15" customHeight="1">
      <c r="A40" s="28" t="str">
        <f>+A140</f>
        <v>3.1. Veículo Coletor Baú Basculante 25 m³</v>
      </c>
      <c r="B40" s="29"/>
      <c r="C40" s="29"/>
      <c r="D40" s="40"/>
      <c r="E40" s="31">
        <v>2</v>
      </c>
      <c r="F40" s="3"/>
      <c r="G40" s="4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</row>
    <row r="41" spans="1:64" ht="15" customHeight="1">
      <c r="A41" s="16" t="s">
        <v>290</v>
      </c>
      <c r="B41" s="29"/>
      <c r="C41" s="29"/>
      <c r="D41" s="40"/>
      <c r="E41" s="31">
        <v>1</v>
      </c>
      <c r="F41" s="3"/>
      <c r="G41" s="4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</row>
    <row r="42" spans="1:64" ht="15" hidden="1" customHeight="1">
      <c r="A42" s="28" t="s">
        <v>18</v>
      </c>
      <c r="B42" s="29"/>
      <c r="C42" s="29"/>
      <c r="D42" s="40"/>
      <c r="E42" s="31">
        <v>0</v>
      </c>
      <c r="F42" s="3"/>
      <c r="G42" s="4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</row>
    <row r="43" spans="1:64" ht="6.75" customHeight="1">
      <c r="A43" s="2"/>
      <c r="B43" s="2"/>
      <c r="C43" s="2"/>
      <c r="D43" s="3"/>
      <c r="E43" s="41"/>
      <c r="F43" s="3"/>
      <c r="G43" s="4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</row>
    <row r="44" spans="1:64" ht="6" customHeight="1">
      <c r="A44" s="2"/>
      <c r="B44" s="2"/>
      <c r="C44" s="2"/>
      <c r="D44" s="3"/>
      <c r="E44" s="42"/>
      <c r="F44" s="3"/>
      <c r="G44" s="4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</row>
    <row r="45" spans="1:64" ht="15.75" customHeight="1">
      <c r="A45" s="9" t="s">
        <v>19</v>
      </c>
      <c r="B45" s="43">
        <v>1</v>
      </c>
      <c r="C45" s="14"/>
      <c r="D45" s="15"/>
      <c r="E45" s="44"/>
      <c r="F45" s="15"/>
      <c r="G45" s="14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  <c r="BF45" s="15"/>
      <c r="BG45" s="15"/>
      <c r="BH45" s="15"/>
      <c r="BI45" s="15"/>
      <c r="BJ45" s="15"/>
      <c r="BK45" s="15"/>
      <c r="BL45" s="15"/>
    </row>
    <row r="46" spans="1:64" ht="7.5" customHeight="1">
      <c r="A46" s="2"/>
      <c r="B46" s="2"/>
      <c r="C46" s="2"/>
      <c r="D46" s="3"/>
      <c r="E46" s="42"/>
      <c r="F46" s="3"/>
      <c r="G46" s="4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</row>
    <row r="47" spans="1:64" ht="13.15" customHeight="1">
      <c r="A47" s="15" t="s">
        <v>20</v>
      </c>
    </row>
    <row r="48" spans="1:64" ht="5.25" customHeight="1"/>
    <row r="49" spans="1:64" ht="13.9" customHeight="1">
      <c r="A49" s="3" t="s">
        <v>21</v>
      </c>
    </row>
    <row r="50" spans="1:64" ht="13.9" customHeight="1">
      <c r="A50" s="45" t="s">
        <v>22</v>
      </c>
      <c r="B50" s="45" t="s">
        <v>23</v>
      </c>
      <c r="C50" s="45" t="s">
        <v>15</v>
      </c>
      <c r="D50" s="46" t="s">
        <v>24</v>
      </c>
      <c r="E50" s="46" t="s">
        <v>25</v>
      </c>
      <c r="F50" s="46" t="s">
        <v>26</v>
      </c>
    </row>
    <row r="51" spans="1:64" ht="13.15" customHeight="1">
      <c r="A51" s="47" t="s">
        <v>27</v>
      </c>
      <c r="B51" s="48" t="s">
        <v>28</v>
      </c>
      <c r="C51" s="48">
        <v>1</v>
      </c>
      <c r="D51" s="49">
        <v>2082.31</v>
      </c>
      <c r="E51" s="50">
        <f>C51*D51</f>
        <v>2082.31</v>
      </c>
    </row>
    <row r="52" spans="1:64">
      <c r="A52" s="51" t="s">
        <v>29</v>
      </c>
      <c r="B52" s="52" t="s">
        <v>30</v>
      </c>
      <c r="C52" s="53">
        <v>7.33</v>
      </c>
      <c r="D52" s="54">
        <f>D51/220*2</f>
        <v>18.930090909090907</v>
      </c>
      <c r="E52" s="54">
        <f>C52*D52</f>
        <v>138.75756636363636</v>
      </c>
      <c r="G52" s="2" t="s">
        <v>31</v>
      </c>
    </row>
    <row r="53" spans="1:64" ht="13.15" customHeight="1">
      <c r="A53" s="51" t="s">
        <v>32</v>
      </c>
      <c r="B53" s="52" t="s">
        <v>30</v>
      </c>
      <c r="C53" s="53">
        <v>0</v>
      </c>
      <c r="D53" s="54">
        <f>D51/220*1.5</f>
        <v>14.19756818181818</v>
      </c>
      <c r="E53" s="54">
        <f>C53*D53</f>
        <v>0</v>
      </c>
      <c r="G53" s="2" t="s">
        <v>33</v>
      </c>
    </row>
    <row r="54" spans="1:64" ht="13.15" customHeight="1">
      <c r="A54" s="51" t="s">
        <v>34</v>
      </c>
      <c r="B54" s="52" t="s">
        <v>35</v>
      </c>
      <c r="D54" s="54">
        <f>63/302*(SUM(E52:E53))</f>
        <v>28.946114837447322</v>
      </c>
      <c r="E54" s="54">
        <f>D54</f>
        <v>28.946114837447322</v>
      </c>
      <c r="G54" s="2" t="s">
        <v>36</v>
      </c>
    </row>
    <row r="55" spans="1:64">
      <c r="A55" s="51" t="s">
        <v>37</v>
      </c>
      <c r="B55" s="52" t="s">
        <v>4</v>
      </c>
      <c r="C55" s="52">
        <v>40</v>
      </c>
      <c r="D55" s="54">
        <f>SUM(E51:E54)</f>
        <v>2250.0136812010833</v>
      </c>
      <c r="E55" s="54">
        <f>C55*D55/100</f>
        <v>900.00547248043324</v>
      </c>
    </row>
    <row r="56" spans="1:64">
      <c r="A56" s="55" t="s">
        <v>38</v>
      </c>
      <c r="B56" s="56"/>
      <c r="C56" s="56"/>
      <c r="D56" s="57"/>
      <c r="E56" s="58">
        <f>SUM(E51:E55)</f>
        <v>3150.0191536815164</v>
      </c>
    </row>
    <row r="57" spans="1:64">
      <c r="A57" s="51" t="s">
        <v>39</v>
      </c>
      <c r="B57" s="52" t="s">
        <v>4</v>
      </c>
      <c r="C57" s="59">
        <f>'2_Encargos_Sociais'!$C$37*100</f>
        <v>70.595951999999997</v>
      </c>
      <c r="D57" s="54">
        <f>E56</f>
        <v>3150.0191536815164</v>
      </c>
      <c r="E57" s="54">
        <f>D57*C57/100</f>
        <v>2223.7860097238095</v>
      </c>
    </row>
    <row r="58" spans="1:64">
      <c r="A58" s="55" t="s">
        <v>40</v>
      </c>
      <c r="B58" s="56"/>
      <c r="C58" s="56"/>
      <c r="D58" s="57"/>
      <c r="E58" s="58">
        <f>E56+E57</f>
        <v>5373.8051634053263</v>
      </c>
    </row>
    <row r="59" spans="1:64">
      <c r="A59" s="51" t="s">
        <v>41</v>
      </c>
      <c r="B59" s="52" t="s">
        <v>42</v>
      </c>
      <c r="C59" s="60">
        <v>4</v>
      </c>
      <c r="D59" s="54">
        <f>E58</f>
        <v>5373.8051634053263</v>
      </c>
      <c r="E59" s="54">
        <f>C59*D59</f>
        <v>21495.220653621305</v>
      </c>
      <c r="G59" s="4"/>
    </row>
    <row r="60" spans="1:64" ht="13.9" customHeight="1">
      <c r="D60" s="61" t="s">
        <v>43</v>
      </c>
      <c r="E60" s="62">
        <f>$B$45</f>
        <v>1</v>
      </c>
      <c r="F60" s="63">
        <f>E59*E60</f>
        <v>21495.220653621305</v>
      </c>
      <c r="G60" s="4"/>
    </row>
    <row r="61" spans="1:64" ht="3" customHeight="1"/>
    <row r="62" spans="1:64" ht="6.75" hidden="1" customHeight="1"/>
    <row r="63" spans="1:64" ht="11.25" customHeight="1">
      <c r="A63" s="3" t="s">
        <v>281</v>
      </c>
    </row>
    <row r="64" spans="1:64" ht="13.15" customHeight="1">
      <c r="A64" s="45" t="s">
        <v>22</v>
      </c>
      <c r="B64" s="45" t="s">
        <v>23</v>
      </c>
      <c r="C64" s="45" t="s">
        <v>15</v>
      </c>
      <c r="D64" s="46" t="s">
        <v>24</v>
      </c>
      <c r="E64" s="46" t="s">
        <v>25</v>
      </c>
      <c r="F64" s="46" t="s">
        <v>26</v>
      </c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64"/>
      <c r="V64" s="64"/>
      <c r="W64" s="64"/>
      <c r="X64" s="64"/>
      <c r="Y64" s="64"/>
      <c r="Z64" s="64"/>
      <c r="AA64" s="64"/>
      <c r="AB64" s="64"/>
      <c r="AC64" s="64"/>
      <c r="AD64" s="64"/>
      <c r="AE64" s="64"/>
      <c r="AF64" s="64"/>
      <c r="AG64" s="64"/>
      <c r="AH64" s="64"/>
      <c r="AI64" s="64"/>
      <c r="AJ64" s="64"/>
      <c r="AK64" s="64"/>
      <c r="AL64" s="64"/>
      <c r="AM64" s="64"/>
      <c r="AN64" s="64"/>
      <c r="AO64" s="64"/>
      <c r="AP64" s="64"/>
      <c r="AQ64" s="64"/>
      <c r="AR64" s="64"/>
      <c r="AS64" s="64"/>
      <c r="AT64" s="64"/>
      <c r="AU64" s="64"/>
      <c r="AV64" s="64"/>
      <c r="AW64" s="64"/>
      <c r="AX64" s="64"/>
      <c r="AY64" s="64"/>
      <c r="AZ64" s="64"/>
      <c r="BA64" s="64"/>
      <c r="BB64" s="64"/>
      <c r="BC64" s="64"/>
      <c r="BD64" s="64"/>
      <c r="BE64" s="64"/>
      <c r="BF64" s="64"/>
      <c r="BG64" s="64"/>
      <c r="BH64" s="64"/>
      <c r="BI64" s="64"/>
      <c r="BJ64" s="64"/>
      <c r="BK64" s="64"/>
      <c r="BL64" s="64"/>
    </row>
    <row r="65" spans="1:64">
      <c r="A65" s="47" t="s">
        <v>47</v>
      </c>
      <c r="B65" s="48" t="s">
        <v>28</v>
      </c>
      <c r="C65" s="48">
        <v>1</v>
      </c>
      <c r="D65" s="49">
        <v>2542.7600000000002</v>
      </c>
      <c r="E65" s="50">
        <f>C65*D65</f>
        <v>2542.7600000000002</v>
      </c>
    </row>
    <row r="66" spans="1:64">
      <c r="A66" s="47" t="s">
        <v>48</v>
      </c>
      <c r="B66" s="48" t="s">
        <v>28</v>
      </c>
      <c r="C66" s="48">
        <v>1</v>
      </c>
      <c r="D66" s="49">
        <v>1518</v>
      </c>
      <c r="E66" s="50"/>
    </row>
    <row r="67" spans="1:64">
      <c r="A67" s="51" t="s">
        <v>29</v>
      </c>
      <c r="B67" s="52" t="s">
        <v>30</v>
      </c>
      <c r="C67" s="53">
        <v>7.33</v>
      </c>
      <c r="D67" s="54">
        <f>D65/220*2</f>
        <v>23.116000000000003</v>
      </c>
      <c r="E67" s="54">
        <f>C67*D67</f>
        <v>169.44028000000003</v>
      </c>
      <c r="G67" s="2" t="s">
        <v>31</v>
      </c>
    </row>
    <row r="68" spans="1:64">
      <c r="A68" s="51" t="s">
        <v>32</v>
      </c>
      <c r="B68" s="52" t="s">
        <v>30</v>
      </c>
      <c r="C68" s="53">
        <v>0</v>
      </c>
      <c r="D68" s="54">
        <f>D65/220*1.5</f>
        <v>17.337000000000003</v>
      </c>
      <c r="E68" s="54">
        <f>C68*D68</f>
        <v>0</v>
      </c>
      <c r="G68" s="2" t="s">
        <v>33</v>
      </c>
    </row>
    <row r="69" spans="1:64" ht="13.15" customHeight="1">
      <c r="A69" s="51" t="s">
        <v>34</v>
      </c>
      <c r="B69" s="52" t="s">
        <v>35</v>
      </c>
      <c r="D69" s="54">
        <f>63/302*(SUM(E67:E68))</f>
        <v>35.34681337748345</v>
      </c>
      <c r="E69" s="54">
        <f>D69</f>
        <v>35.34681337748345</v>
      </c>
      <c r="G69" s="2" t="s">
        <v>36</v>
      </c>
    </row>
    <row r="70" spans="1:64">
      <c r="A70" s="51" t="s">
        <v>49</v>
      </c>
      <c r="B70" s="52"/>
      <c r="C70" s="65">
        <v>2</v>
      </c>
      <c r="D70" s="54"/>
      <c r="E70" s="54"/>
    </row>
    <row r="71" spans="1:64">
      <c r="A71" s="51" t="s">
        <v>37</v>
      </c>
      <c r="B71" s="52" t="s">
        <v>4</v>
      </c>
      <c r="C71" s="60">
        <v>40</v>
      </c>
      <c r="D71" s="54">
        <f>IF(C70=2,SUM(E65:E69),IF(C70=1,(SUM(E65:E69))*D66/D65,0))</f>
        <v>2747.5470933774836</v>
      </c>
      <c r="E71" s="54">
        <f>C71*D71/100</f>
        <v>1099.0188373509934</v>
      </c>
    </row>
    <row r="72" spans="1:64">
      <c r="A72" s="66" t="s">
        <v>38</v>
      </c>
      <c r="B72" s="56"/>
      <c r="C72" s="56"/>
      <c r="D72" s="57"/>
      <c r="E72" s="10">
        <f>SUM(E65:E71)</f>
        <v>3846.5659307284768</v>
      </c>
      <c r="F72" s="14"/>
      <c r="G72" s="14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15"/>
      <c r="AN72" s="15"/>
      <c r="AO72" s="15"/>
      <c r="AP72" s="15"/>
      <c r="AQ72" s="15"/>
      <c r="AR72" s="15"/>
      <c r="AS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  <c r="BF72" s="15"/>
      <c r="BG72" s="15"/>
      <c r="BH72" s="15"/>
      <c r="BI72" s="15"/>
      <c r="BJ72" s="15"/>
      <c r="BK72" s="15"/>
      <c r="BL72" s="15"/>
    </row>
    <row r="73" spans="1:64">
      <c r="A73" s="51" t="s">
        <v>39</v>
      </c>
      <c r="B73" s="52" t="s">
        <v>4</v>
      </c>
      <c r="C73" s="59">
        <f>'2_Encargos_Sociais'!$C$37*100</f>
        <v>70.595951999999997</v>
      </c>
      <c r="D73" s="54">
        <f>E72</f>
        <v>3846.5659307284768</v>
      </c>
      <c r="E73" s="54">
        <f>D73*C73/100</f>
        <v>2715.5198381054283</v>
      </c>
    </row>
    <row r="74" spans="1:64">
      <c r="A74" s="66" t="s">
        <v>50</v>
      </c>
      <c r="B74" s="67"/>
      <c r="C74" s="67"/>
      <c r="D74" s="68"/>
      <c r="E74" s="10">
        <f>E72+E73</f>
        <v>6562.0857688339056</v>
      </c>
      <c r="F74" s="14"/>
      <c r="G74" s="14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  <c r="AK74" s="15"/>
      <c r="AL74" s="15"/>
      <c r="AM74" s="15"/>
      <c r="AN74" s="15"/>
      <c r="AO74" s="15"/>
      <c r="AP74" s="15"/>
      <c r="AQ74" s="15"/>
      <c r="AR74" s="15"/>
      <c r="AS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  <c r="BF74" s="15"/>
      <c r="BG74" s="15"/>
      <c r="BH74" s="15"/>
      <c r="BI74" s="15"/>
      <c r="BJ74" s="15"/>
      <c r="BK74" s="15"/>
      <c r="BL74" s="15"/>
    </row>
    <row r="75" spans="1:64">
      <c r="A75" s="51" t="s">
        <v>41</v>
      </c>
      <c r="B75" s="52" t="s">
        <v>42</v>
      </c>
      <c r="C75" s="60">
        <v>2</v>
      </c>
      <c r="D75" s="54">
        <f>E74</f>
        <v>6562.0857688339056</v>
      </c>
      <c r="E75" s="54">
        <f>C75*D75</f>
        <v>13124.171537667811</v>
      </c>
    </row>
    <row r="76" spans="1:64">
      <c r="D76" s="61" t="s">
        <v>43</v>
      </c>
      <c r="E76" s="62">
        <f>$B$45</f>
        <v>1</v>
      </c>
      <c r="F76" s="63">
        <f>E75*E76</f>
        <v>13124.171537667811</v>
      </c>
    </row>
    <row r="77" spans="1:64" ht="4.5" customHeight="1"/>
    <row r="78" spans="1:64" ht="11.25" hidden="1" customHeight="1">
      <c r="G78" s="3"/>
    </row>
    <row r="79" spans="1:64" hidden="1">
      <c r="A79"/>
      <c r="B79" s="69"/>
      <c r="D79" s="3"/>
      <c r="E79" s="3"/>
      <c r="G79" s="3"/>
    </row>
    <row r="80" spans="1:64" ht="11.25" customHeight="1">
      <c r="A80" s="3" t="s">
        <v>286</v>
      </c>
      <c r="B80" s="69"/>
      <c r="D80" s="3"/>
      <c r="E80" s="3"/>
      <c r="G80" s="3"/>
    </row>
    <row r="81" spans="1:7">
      <c r="A81" s="45" t="s">
        <v>22</v>
      </c>
      <c r="B81" s="45" t="s">
        <v>23</v>
      </c>
      <c r="C81" s="45" t="s">
        <v>15</v>
      </c>
      <c r="D81" s="46" t="s">
        <v>24</v>
      </c>
      <c r="E81" s="46" t="s">
        <v>25</v>
      </c>
      <c r="F81" s="46" t="s">
        <v>26</v>
      </c>
      <c r="G81" s="3"/>
    </row>
    <row r="82" spans="1:7">
      <c r="A82" s="51" t="s">
        <v>52</v>
      </c>
      <c r="B82" s="52" t="s">
        <v>35</v>
      </c>
      <c r="C82" s="70">
        <v>1</v>
      </c>
      <c r="D82" s="71">
        <v>5.7</v>
      </c>
      <c r="E82" s="54"/>
      <c r="G82" s="3"/>
    </row>
    <row r="83" spans="1:7">
      <c r="A83" s="51" t="s">
        <v>53</v>
      </c>
      <c r="B83" s="52" t="s">
        <v>54</v>
      </c>
      <c r="C83" s="73">
        <v>26</v>
      </c>
      <c r="D83" s="54"/>
      <c r="E83" s="54"/>
      <c r="G83" s="3"/>
    </row>
    <row r="84" spans="1:7">
      <c r="A84" s="51" t="s">
        <v>55</v>
      </c>
      <c r="B84" s="52" t="s">
        <v>56</v>
      </c>
      <c r="C84" s="74">
        <f>$C$83*2*(C59)</f>
        <v>208</v>
      </c>
      <c r="D84" s="50">
        <f>IFERROR((($C$83*2*$D$82)-(E51*0.06*C83/26))/($C$83*2),"-")</f>
        <v>3.2973346153846164</v>
      </c>
      <c r="E84" s="54">
        <f>IFERROR(C84*D84,"-")</f>
        <v>685.84560000000022</v>
      </c>
      <c r="G84" s="3"/>
    </row>
    <row r="85" spans="1:7">
      <c r="A85" s="47" t="s">
        <v>57</v>
      </c>
      <c r="B85" s="48" t="s">
        <v>56</v>
      </c>
      <c r="C85" s="74">
        <f>$C$83*2*(C75)</f>
        <v>104</v>
      </c>
      <c r="D85" s="50">
        <f>IFERROR((($C$83*2*$D$82)-(E65*0.06*C83/26))/($C$83*2),"-")</f>
        <v>2.7660461538461543</v>
      </c>
      <c r="E85" s="50">
        <f>IFERROR(C85*D85,"-")</f>
        <v>287.66880000000003</v>
      </c>
      <c r="G85" s="3"/>
    </row>
    <row r="86" spans="1:7" hidden="1">
      <c r="A86" s="47" t="s">
        <v>58</v>
      </c>
      <c r="B86" s="48" t="s">
        <v>56</v>
      </c>
      <c r="C86" s="74">
        <v>0</v>
      </c>
      <c r="D86" s="50">
        <v>0</v>
      </c>
      <c r="E86" s="50">
        <f>IFERROR(C86*D86,"-")</f>
        <v>0</v>
      </c>
      <c r="G86" s="3"/>
    </row>
    <row r="87" spans="1:7">
      <c r="F87" s="75">
        <f>SUM(E84:E86)</f>
        <v>973.51440000000025</v>
      </c>
      <c r="G87" s="3"/>
    </row>
    <row r="88" spans="1:7" ht="3.75" customHeight="1">
      <c r="G88" s="3"/>
    </row>
    <row r="89" spans="1:7">
      <c r="A89" s="3" t="s">
        <v>287</v>
      </c>
      <c r="F89" s="14"/>
      <c r="G89" s="3"/>
    </row>
    <row r="90" spans="1:7">
      <c r="A90" s="45" t="s">
        <v>22</v>
      </c>
      <c r="B90" s="45" t="s">
        <v>23</v>
      </c>
      <c r="C90" s="45" t="s">
        <v>15</v>
      </c>
      <c r="D90" s="46" t="s">
        <v>24</v>
      </c>
      <c r="E90" s="46" t="s">
        <v>25</v>
      </c>
      <c r="F90" s="46" t="s">
        <v>26</v>
      </c>
      <c r="G90" s="3"/>
    </row>
    <row r="91" spans="1:7">
      <c r="A91" s="51" t="str">
        <f>+A84</f>
        <v>Coletor</v>
      </c>
      <c r="B91" s="52" t="s">
        <v>59</v>
      </c>
      <c r="C91" s="74">
        <v>104</v>
      </c>
      <c r="D91" s="76">
        <v>20.59</v>
      </c>
      <c r="E91" s="62">
        <f>C91*D91</f>
        <v>2141.36</v>
      </c>
      <c r="F91" s="14"/>
      <c r="G91" s="3"/>
    </row>
    <row r="92" spans="1:7">
      <c r="A92" s="51" t="str">
        <f>+A85</f>
        <v>Motorista</v>
      </c>
      <c r="B92" s="52" t="s">
        <v>59</v>
      </c>
      <c r="C92" s="74">
        <v>52</v>
      </c>
      <c r="D92" s="76">
        <v>15.2</v>
      </c>
      <c r="E92" s="62">
        <f>C92*D92</f>
        <v>790.4</v>
      </c>
      <c r="F92" s="14"/>
      <c r="G92" s="3"/>
    </row>
    <row r="93" spans="1:7" hidden="1">
      <c r="A93" s="51" t="str">
        <f>+A86</f>
        <v>Supervisor de Coleta</v>
      </c>
      <c r="B93" s="52" t="s">
        <v>59</v>
      </c>
      <c r="C93" s="74">
        <v>0</v>
      </c>
      <c r="D93" s="76">
        <v>0</v>
      </c>
      <c r="E93" s="62">
        <f>C93*D93</f>
        <v>0</v>
      </c>
      <c r="F93" s="14"/>
      <c r="G93" s="3"/>
    </row>
    <row r="94" spans="1:7">
      <c r="F94" s="75">
        <f>SUM(E91:E93)</f>
        <v>2931.76</v>
      </c>
      <c r="G94" s="3"/>
    </row>
    <row r="95" spans="1:7" ht="7.5" customHeight="1">
      <c r="G95" s="3"/>
    </row>
    <row r="96" spans="1:7">
      <c r="A96" s="3" t="s">
        <v>288</v>
      </c>
      <c r="F96" s="14"/>
      <c r="G96" s="3"/>
    </row>
    <row r="97" spans="1:7">
      <c r="A97" s="45" t="s">
        <v>22</v>
      </c>
      <c r="B97" s="45" t="s">
        <v>23</v>
      </c>
      <c r="C97" s="45" t="s">
        <v>15</v>
      </c>
      <c r="D97" s="46" t="s">
        <v>24</v>
      </c>
      <c r="E97" s="46" t="s">
        <v>25</v>
      </c>
      <c r="F97" s="46" t="s">
        <v>26</v>
      </c>
      <c r="G97" s="3"/>
    </row>
    <row r="98" spans="1:7">
      <c r="A98" s="51" t="str">
        <f>+A91</f>
        <v>Coletor</v>
      </c>
      <c r="B98" s="52" t="s">
        <v>59</v>
      </c>
      <c r="C98" s="74">
        <v>4</v>
      </c>
      <c r="D98" s="76">
        <v>0</v>
      </c>
      <c r="E98" s="62">
        <f>C98*D98</f>
        <v>0</v>
      </c>
      <c r="F98" s="14"/>
      <c r="G98" s="3"/>
    </row>
    <row r="99" spans="1:7">
      <c r="A99" s="51" t="str">
        <f>+A92</f>
        <v>Motorista</v>
      </c>
      <c r="B99" s="52" t="s">
        <v>59</v>
      </c>
      <c r="C99" s="74">
        <v>2</v>
      </c>
      <c r="D99" s="76">
        <v>110.4</v>
      </c>
      <c r="E99" s="62">
        <f>C99*D99</f>
        <v>220.8</v>
      </c>
      <c r="F99" s="14"/>
      <c r="G99" s="3"/>
    </row>
    <row r="100" spans="1:7">
      <c r="D100" s="61" t="s">
        <v>43</v>
      </c>
      <c r="E100" s="62">
        <f>$B$45</f>
        <v>1</v>
      </c>
      <c r="F100" s="75">
        <f>SUM(E98:E99)*E100</f>
        <v>220.8</v>
      </c>
      <c r="G100" s="3"/>
    </row>
    <row r="101" spans="1:7">
      <c r="A101" s="331" t="s">
        <v>163</v>
      </c>
      <c r="B101" s="332"/>
      <c r="C101" s="332"/>
      <c r="D101" s="332"/>
      <c r="E101" s="332"/>
      <c r="F101" s="332"/>
      <c r="G101" s="3"/>
    </row>
    <row r="102" spans="1:7" ht="4.5" hidden="1" customHeight="1">
      <c r="G102" s="3"/>
    </row>
    <row r="103" spans="1:7" ht="6" customHeight="1">
      <c r="G103" s="3"/>
    </row>
    <row r="104" spans="1:7">
      <c r="A104" s="77" t="s">
        <v>60</v>
      </c>
      <c r="B104" s="78"/>
      <c r="C104" s="78"/>
      <c r="D104" s="8"/>
      <c r="E104" s="79"/>
      <c r="F104" s="75">
        <f>F100+F94+F87+F76+F60</f>
        <v>38745.466591289121</v>
      </c>
      <c r="G104" s="3"/>
    </row>
    <row r="105" spans="1:7" ht="7.5" customHeight="1"/>
    <row r="106" spans="1:7">
      <c r="A106" s="15" t="s">
        <v>61</v>
      </c>
      <c r="G106" s="3"/>
    </row>
    <row r="107" spans="1:7" ht="6" customHeight="1">
      <c r="G107" s="3"/>
    </row>
    <row r="108" spans="1:7" ht="13.9" customHeight="1">
      <c r="A108" s="3" t="s">
        <v>62</v>
      </c>
      <c r="G108" s="3"/>
    </row>
    <row r="109" spans="1:7" ht="7.5" customHeight="1">
      <c r="G109" s="3"/>
    </row>
    <row r="110" spans="1:7" ht="21.75" customHeight="1">
      <c r="A110" s="45" t="s">
        <v>22</v>
      </c>
      <c r="B110" s="45" t="s">
        <v>23</v>
      </c>
      <c r="C110" s="80" t="s">
        <v>63</v>
      </c>
      <c r="D110" s="46" t="s">
        <v>24</v>
      </c>
      <c r="E110" s="46" t="s">
        <v>25</v>
      </c>
      <c r="F110" s="46" t="s">
        <v>26</v>
      </c>
      <c r="G110" s="3"/>
    </row>
    <row r="111" spans="1:7" ht="13.15" customHeight="1">
      <c r="A111" s="51" t="s">
        <v>64</v>
      </c>
      <c r="B111" s="52" t="s">
        <v>59</v>
      </c>
      <c r="C111" s="81">
        <v>6</v>
      </c>
      <c r="D111" s="49">
        <v>59.26</v>
      </c>
      <c r="E111" s="50">
        <f t="shared" ref="E111:E119" si="1">IFERROR(D111/C111,0)</f>
        <v>9.8766666666666669</v>
      </c>
      <c r="G111" s="3"/>
    </row>
    <row r="112" spans="1:7">
      <c r="A112" s="51" t="s">
        <v>65</v>
      </c>
      <c r="B112" s="52" t="s">
        <v>59</v>
      </c>
      <c r="C112" s="81">
        <v>6</v>
      </c>
      <c r="D112" s="49">
        <v>43.26</v>
      </c>
      <c r="E112" s="50">
        <f t="shared" si="1"/>
        <v>7.21</v>
      </c>
      <c r="G112" s="3"/>
    </row>
    <row r="113" spans="1:64" ht="13.15" customHeight="1">
      <c r="A113" s="51" t="s">
        <v>66</v>
      </c>
      <c r="B113" s="52" t="s">
        <v>59</v>
      </c>
      <c r="C113" s="81">
        <v>6</v>
      </c>
      <c r="D113" s="49">
        <v>34.69</v>
      </c>
      <c r="E113" s="50">
        <f t="shared" si="1"/>
        <v>5.7816666666666663</v>
      </c>
      <c r="G113" s="3"/>
    </row>
    <row r="114" spans="1:64" ht="13.9" customHeight="1">
      <c r="A114" s="51" t="s">
        <v>67</v>
      </c>
      <c r="B114" s="52" t="s">
        <v>68</v>
      </c>
      <c r="C114" s="81">
        <v>6</v>
      </c>
      <c r="D114" s="49">
        <v>88.69</v>
      </c>
      <c r="E114" s="50">
        <f t="shared" si="1"/>
        <v>14.781666666666666</v>
      </c>
      <c r="G114" s="3"/>
    </row>
    <row r="115" spans="1:64" ht="13.15" customHeight="1">
      <c r="A115" s="51" t="s">
        <v>69</v>
      </c>
      <c r="B115" s="52" t="s">
        <v>68</v>
      </c>
      <c r="C115" s="81">
        <v>3</v>
      </c>
      <c r="D115" s="49">
        <v>20.329999999999998</v>
      </c>
      <c r="E115" s="50">
        <f t="shared" si="1"/>
        <v>6.7766666666666664</v>
      </c>
    </row>
    <row r="116" spans="1:64">
      <c r="A116" s="51" t="s">
        <v>70</v>
      </c>
      <c r="B116" s="52" t="s">
        <v>59</v>
      </c>
      <c r="C116" s="81">
        <v>12</v>
      </c>
      <c r="D116" s="49">
        <v>67.62</v>
      </c>
      <c r="E116" s="50">
        <f t="shared" si="1"/>
        <v>5.6350000000000007</v>
      </c>
    </row>
    <row r="117" spans="1:64">
      <c r="A117" s="82" t="s">
        <v>71</v>
      </c>
      <c r="B117" s="83" t="s">
        <v>59</v>
      </c>
      <c r="C117" s="81">
        <v>6</v>
      </c>
      <c r="D117" s="49">
        <v>23.33</v>
      </c>
      <c r="E117" s="50">
        <f t="shared" si="1"/>
        <v>3.8883333333333332</v>
      </c>
      <c r="F117" s="84"/>
      <c r="G117" s="84"/>
      <c r="H117" s="85"/>
      <c r="I117" s="85"/>
      <c r="J117" s="85"/>
      <c r="K117" s="85"/>
      <c r="L117" s="85"/>
      <c r="M117" s="85"/>
      <c r="N117" s="85"/>
      <c r="O117" s="85"/>
      <c r="P117" s="85"/>
      <c r="Q117" s="85"/>
      <c r="R117" s="85"/>
      <c r="S117" s="85"/>
      <c r="T117" s="85"/>
      <c r="U117" s="85"/>
      <c r="V117" s="85"/>
      <c r="W117" s="85"/>
      <c r="X117" s="85"/>
      <c r="Y117" s="85"/>
      <c r="Z117" s="85"/>
      <c r="AA117" s="85"/>
      <c r="AB117" s="85"/>
      <c r="AC117" s="85"/>
      <c r="AD117" s="85"/>
      <c r="AE117" s="85"/>
      <c r="AF117" s="85"/>
      <c r="AG117" s="85"/>
      <c r="AH117" s="85"/>
      <c r="AI117" s="85"/>
      <c r="AJ117" s="85"/>
      <c r="AK117" s="85"/>
      <c r="AL117" s="85"/>
      <c r="AM117" s="85"/>
      <c r="AN117" s="85"/>
      <c r="AO117" s="85"/>
      <c r="AP117" s="85"/>
      <c r="AQ117" s="85"/>
      <c r="AR117" s="85"/>
      <c r="AS117" s="85"/>
      <c r="AT117" s="85"/>
      <c r="AU117" s="85"/>
      <c r="AV117" s="85"/>
      <c r="AW117" s="85"/>
      <c r="AX117" s="85"/>
      <c r="AY117" s="85"/>
      <c r="AZ117" s="85"/>
      <c r="BA117" s="85"/>
      <c r="BB117" s="85"/>
      <c r="BC117" s="85"/>
      <c r="BD117" s="85"/>
      <c r="BE117" s="85"/>
      <c r="BF117" s="85"/>
      <c r="BG117" s="85"/>
      <c r="BH117" s="85"/>
      <c r="BI117" s="85"/>
      <c r="BJ117" s="85"/>
      <c r="BK117" s="85"/>
      <c r="BL117" s="85"/>
    </row>
    <row r="118" spans="1:64">
      <c r="A118" s="51" t="s">
        <v>72</v>
      </c>
      <c r="B118" s="52" t="s">
        <v>68</v>
      </c>
      <c r="C118" s="81">
        <v>3</v>
      </c>
      <c r="D118" s="49">
        <v>10.57</v>
      </c>
      <c r="E118" s="50">
        <f t="shared" si="1"/>
        <v>3.5233333333333334</v>
      </c>
    </row>
    <row r="119" spans="1:64" ht="13.15" customHeight="1">
      <c r="A119" s="51" t="s">
        <v>73</v>
      </c>
      <c r="B119" s="52" t="s">
        <v>74</v>
      </c>
      <c r="C119" s="81">
        <v>2</v>
      </c>
      <c r="D119" s="49">
        <v>71.599999999999994</v>
      </c>
      <c r="E119" s="50">
        <f t="shared" si="1"/>
        <v>35.799999999999997</v>
      </c>
    </row>
    <row r="120" spans="1:64">
      <c r="A120" s="51" t="s">
        <v>75</v>
      </c>
      <c r="B120" s="52" t="s">
        <v>76</v>
      </c>
      <c r="C120" s="86">
        <v>1</v>
      </c>
      <c r="D120" s="49">
        <v>128</v>
      </c>
      <c r="E120" s="54">
        <f>C120*D120</f>
        <v>128</v>
      </c>
    </row>
    <row r="121" spans="1:64">
      <c r="A121" s="51" t="s">
        <v>41</v>
      </c>
      <c r="B121" s="52" t="s">
        <v>42</v>
      </c>
      <c r="C121" s="86">
        <v>4</v>
      </c>
      <c r="D121" s="54">
        <f>+SUM(E111:E120)</f>
        <v>221.27333333333331</v>
      </c>
      <c r="E121" s="54">
        <f>C121*D121</f>
        <v>885.09333333333325</v>
      </c>
    </row>
    <row r="122" spans="1:64">
      <c r="D122" s="61" t="s">
        <v>43</v>
      </c>
      <c r="E122" s="62">
        <f>$B$45</f>
        <v>1</v>
      </c>
      <c r="F122" s="63">
        <f>E121*E122</f>
        <v>885.09333333333325</v>
      </c>
    </row>
    <row r="123" spans="1:64" ht="6.75" customHeight="1"/>
    <row r="124" spans="1:64" ht="13.9" customHeight="1">
      <c r="A124" s="3" t="s">
        <v>77</v>
      </c>
    </row>
    <row r="125" spans="1:64" ht="4.5" customHeight="1"/>
    <row r="126" spans="1:64" ht="20.25" customHeight="1">
      <c r="A126" s="45" t="s">
        <v>22</v>
      </c>
      <c r="B126" s="45" t="s">
        <v>23</v>
      </c>
      <c r="C126" s="80" t="s">
        <v>63</v>
      </c>
      <c r="D126" s="46" t="s">
        <v>24</v>
      </c>
      <c r="E126" s="46" t="s">
        <v>25</v>
      </c>
      <c r="F126" s="46" t="s">
        <v>26</v>
      </c>
    </row>
    <row r="127" spans="1:64">
      <c r="A127" s="51" t="s">
        <v>64</v>
      </c>
      <c r="B127" s="52" t="s">
        <v>59</v>
      </c>
      <c r="C127" s="81">
        <v>12</v>
      </c>
      <c r="D127" s="54">
        <f>+D111</f>
        <v>59.26</v>
      </c>
      <c r="E127" s="50">
        <f>IFERROR(D127/C127,0)</f>
        <v>4.9383333333333335</v>
      </c>
    </row>
    <row r="128" spans="1:64">
      <c r="A128" s="51" t="s">
        <v>65</v>
      </c>
      <c r="B128" s="52" t="s">
        <v>59</v>
      </c>
      <c r="C128" s="81">
        <v>12</v>
      </c>
      <c r="D128" s="54">
        <f>+D112</f>
        <v>43.26</v>
      </c>
      <c r="E128" s="50">
        <f>IFERROR(D128/C128,0)</f>
        <v>3.605</v>
      </c>
    </row>
    <row r="129" spans="1:7">
      <c r="A129" s="51" t="s">
        <v>67</v>
      </c>
      <c r="B129" s="52" t="s">
        <v>68</v>
      </c>
      <c r="C129" s="81">
        <v>12</v>
      </c>
      <c r="D129" s="54">
        <f>+D114</f>
        <v>88.69</v>
      </c>
      <c r="E129" s="50">
        <f>IFERROR(D129/C129,0)</f>
        <v>7.3908333333333331</v>
      </c>
    </row>
    <row r="130" spans="1:7">
      <c r="A130" s="51" t="s">
        <v>70</v>
      </c>
      <c r="B130" s="52" t="s">
        <v>59</v>
      </c>
      <c r="C130" s="81">
        <v>12</v>
      </c>
      <c r="D130" s="54">
        <f>+D116</f>
        <v>67.62</v>
      </c>
      <c r="E130" s="50">
        <f>IFERROR(D130/C130,0)</f>
        <v>5.6350000000000007</v>
      </c>
      <c r="G130" s="3"/>
    </row>
    <row r="131" spans="1:7">
      <c r="A131" s="51" t="s">
        <v>73</v>
      </c>
      <c r="B131" s="52" t="s">
        <v>74</v>
      </c>
      <c r="C131" s="81">
        <v>3</v>
      </c>
      <c r="D131" s="54">
        <f>+D119</f>
        <v>71.599999999999994</v>
      </c>
      <c r="E131" s="50">
        <f>IFERROR(D131/C131,0)</f>
        <v>23.866666666666664</v>
      </c>
      <c r="G131" s="3"/>
    </row>
    <row r="132" spans="1:7">
      <c r="A132" s="51" t="s">
        <v>75</v>
      </c>
      <c r="B132" s="52" t="s">
        <v>76</v>
      </c>
      <c r="C132" s="86">
        <v>1</v>
      </c>
      <c r="D132" s="49">
        <v>128</v>
      </c>
      <c r="E132" s="54">
        <f>C132*D132</f>
        <v>128</v>
      </c>
      <c r="G132" s="3"/>
    </row>
    <row r="133" spans="1:7">
      <c r="A133" s="51" t="s">
        <v>41</v>
      </c>
      <c r="B133" s="52" t="s">
        <v>42</v>
      </c>
      <c r="C133" s="86">
        <v>2</v>
      </c>
      <c r="D133" s="54">
        <f>+SUM(E127:E132)</f>
        <v>173.43583333333333</v>
      </c>
      <c r="E133" s="54">
        <f>C133*D133</f>
        <v>346.87166666666667</v>
      </c>
      <c r="G133" s="3"/>
    </row>
    <row r="134" spans="1:7">
      <c r="D134" s="61" t="s">
        <v>43</v>
      </c>
      <c r="E134" s="62">
        <f>$B$45</f>
        <v>1</v>
      </c>
      <c r="F134" s="63">
        <f>E133*E134</f>
        <v>346.87166666666667</v>
      </c>
      <c r="G134" s="3"/>
    </row>
    <row r="135" spans="1:7" ht="8.25" customHeight="1">
      <c r="G135" s="3"/>
    </row>
    <row r="136" spans="1:7">
      <c r="A136" s="77" t="s">
        <v>78</v>
      </c>
      <c r="B136" s="40"/>
      <c r="C136" s="40"/>
      <c r="D136" s="29"/>
      <c r="E136" s="87"/>
      <c r="F136" s="88">
        <f>+F122+F134</f>
        <v>1231.9649999999999</v>
      </c>
      <c r="G136" s="3"/>
    </row>
    <row r="137" spans="1:7" ht="8.25" customHeight="1">
      <c r="G137" s="3"/>
    </row>
    <row r="138" spans="1:7">
      <c r="A138" s="15" t="s">
        <v>79</v>
      </c>
      <c r="G138" s="3"/>
    </row>
    <row r="139" spans="1:7" ht="6.75" customHeight="1">
      <c r="B139" s="89"/>
      <c r="G139" s="3"/>
    </row>
    <row r="140" spans="1:7">
      <c r="A140" s="5" t="s">
        <v>289</v>
      </c>
      <c r="G140" s="3"/>
    </row>
    <row r="141" spans="1:7" ht="4.5" customHeight="1">
      <c r="G141" s="3"/>
    </row>
    <row r="142" spans="1:7">
      <c r="A142" s="89" t="s">
        <v>80</v>
      </c>
      <c r="G142" s="3"/>
    </row>
    <row r="143" spans="1:7">
      <c r="A143" s="45" t="s">
        <v>22</v>
      </c>
      <c r="B143" s="45" t="s">
        <v>23</v>
      </c>
      <c r="C143" s="45" t="s">
        <v>15</v>
      </c>
      <c r="D143" s="46" t="s">
        <v>24</v>
      </c>
      <c r="E143" s="46" t="s">
        <v>25</v>
      </c>
      <c r="F143" s="46" t="s">
        <v>26</v>
      </c>
      <c r="G143" s="3"/>
    </row>
    <row r="144" spans="1:7">
      <c r="A144" s="47" t="s">
        <v>81</v>
      </c>
      <c r="B144" s="48" t="s">
        <v>59</v>
      </c>
      <c r="C144" s="48">
        <v>1</v>
      </c>
      <c r="D144" s="49">
        <v>404055</v>
      </c>
      <c r="E144" s="50">
        <f>C144*D144</f>
        <v>404055</v>
      </c>
      <c r="G144" s="202">
        <v>510372.25</v>
      </c>
    </row>
    <row r="145" spans="1:10">
      <c r="A145" s="51" t="s">
        <v>82</v>
      </c>
      <c r="B145" s="52" t="s">
        <v>83</v>
      </c>
      <c r="C145" s="60">
        <v>10</v>
      </c>
      <c r="D145" s="54"/>
      <c r="E145" s="54"/>
      <c r="G145" s="3"/>
    </row>
    <row r="146" spans="1:10">
      <c r="A146" s="51" t="s">
        <v>84</v>
      </c>
      <c r="B146" s="52" t="s">
        <v>83</v>
      </c>
      <c r="C146" s="318">
        <v>10</v>
      </c>
      <c r="D146" s="54"/>
      <c r="E146" s="54"/>
      <c r="F146" s="90"/>
      <c r="I146" s="91"/>
      <c r="J146" s="91"/>
    </row>
    <row r="147" spans="1:10">
      <c r="A147" s="51" t="s">
        <v>85</v>
      </c>
      <c r="B147" s="52" t="s">
        <v>4</v>
      </c>
      <c r="C147" s="59">
        <f>IFERROR(VLOOKUP(C145,'5__Depreciação'!A3:B17,2,0),0)</f>
        <v>65.180000000000007</v>
      </c>
      <c r="D147" s="54">
        <f>E144</f>
        <v>404055</v>
      </c>
      <c r="E147" s="54">
        <f>C147*D147/100</f>
        <v>263363.049</v>
      </c>
    </row>
    <row r="148" spans="1:10" ht="13.5" thickBot="1">
      <c r="A148" s="92" t="s">
        <v>294</v>
      </c>
      <c r="B148" s="93" t="s">
        <v>28</v>
      </c>
      <c r="C148" s="93">
        <f>C145*12</f>
        <v>120</v>
      </c>
      <c r="D148" s="94">
        <f>IF(C146&lt;=C145,E147,0)</f>
        <v>263363.049</v>
      </c>
      <c r="E148" s="94">
        <f>IFERROR(D148/C148,0)</f>
        <v>2194.6920749999999</v>
      </c>
    </row>
    <row r="149" spans="1:10" ht="13.5" thickTop="1">
      <c r="A149" s="47" t="s">
        <v>295</v>
      </c>
      <c r="B149" s="48" t="s">
        <v>59</v>
      </c>
      <c r="C149" s="48">
        <v>1</v>
      </c>
      <c r="D149" s="49">
        <v>100000</v>
      </c>
      <c r="E149" s="50">
        <f>C149*D149</f>
        <v>100000</v>
      </c>
      <c r="G149" s="3"/>
    </row>
    <row r="150" spans="1:10">
      <c r="A150" s="51" t="s">
        <v>296</v>
      </c>
      <c r="B150" s="52" t="s">
        <v>83</v>
      </c>
      <c r="C150" s="60">
        <v>10</v>
      </c>
      <c r="D150" s="54"/>
      <c r="E150" s="54"/>
    </row>
    <row r="151" spans="1:10">
      <c r="A151" s="51" t="s">
        <v>297</v>
      </c>
      <c r="B151" s="52" t="s">
        <v>83</v>
      </c>
      <c r="C151" s="318">
        <v>10</v>
      </c>
      <c r="D151" s="54"/>
      <c r="E151" s="54"/>
      <c r="F151" s="90"/>
      <c r="I151" s="91"/>
      <c r="J151" s="91"/>
    </row>
    <row r="152" spans="1:10">
      <c r="A152" s="51" t="s">
        <v>298</v>
      </c>
      <c r="B152" s="52" t="s">
        <v>4</v>
      </c>
      <c r="C152" s="95">
        <f>IFERROR(VLOOKUP(C150,'5__Depreciação'!A3:B17,2,0),0)</f>
        <v>65.180000000000007</v>
      </c>
      <c r="D152" s="54">
        <f>E149</f>
        <v>100000</v>
      </c>
      <c r="E152" s="54">
        <f>C152*D152/100</f>
        <v>65180.000000000007</v>
      </c>
    </row>
    <row r="153" spans="1:10">
      <c r="A153" s="66" t="s">
        <v>299</v>
      </c>
      <c r="B153" s="39" t="s">
        <v>28</v>
      </c>
      <c r="C153" s="39">
        <v>120</v>
      </c>
      <c r="D153" s="10">
        <f>IF(C151&lt;=C150,E152,0)</f>
        <v>65180.000000000007</v>
      </c>
      <c r="E153" s="10">
        <f>IFERROR(D153/C153,0)</f>
        <v>543.16666666666674</v>
      </c>
    </row>
    <row r="154" spans="1:10">
      <c r="A154" s="55" t="s">
        <v>92</v>
      </c>
      <c r="B154" s="56"/>
      <c r="C154" s="56"/>
      <c r="D154" s="57"/>
      <c r="E154" s="58">
        <f>E148+E153</f>
        <v>2737.8587416666669</v>
      </c>
    </row>
    <row r="155" spans="1:10">
      <c r="A155" s="66" t="s">
        <v>93</v>
      </c>
      <c r="B155" s="39" t="s">
        <v>59</v>
      </c>
      <c r="C155" s="60">
        <v>2</v>
      </c>
      <c r="D155" s="10">
        <f>E154</f>
        <v>2737.8587416666669</v>
      </c>
      <c r="E155" s="58">
        <f>C155*D155</f>
        <v>5475.7174833333338</v>
      </c>
    </row>
    <row r="156" spans="1:10">
      <c r="A156" s="96"/>
      <c r="B156" s="96"/>
      <c r="C156" s="96"/>
      <c r="D156" s="61" t="s">
        <v>43</v>
      </c>
      <c r="E156" s="62">
        <v>1.1000000000000001</v>
      </c>
      <c r="F156" s="88">
        <f>E155*E156</f>
        <v>6023.2892316666675</v>
      </c>
    </row>
    <row r="157" spans="1:10" ht="5.25" customHeight="1"/>
    <row r="158" spans="1:10">
      <c r="A158" s="89" t="s">
        <v>95</v>
      </c>
    </row>
    <row r="159" spans="1:10">
      <c r="A159" s="98" t="s">
        <v>22</v>
      </c>
      <c r="B159" s="98" t="s">
        <v>23</v>
      </c>
      <c r="C159" s="98" t="s">
        <v>15</v>
      </c>
      <c r="D159" s="46" t="s">
        <v>24</v>
      </c>
      <c r="E159" s="99" t="s">
        <v>25</v>
      </c>
      <c r="F159" s="46" t="s">
        <v>26</v>
      </c>
      <c r="I159" s="91"/>
      <c r="J159" s="91"/>
    </row>
    <row r="160" spans="1:10">
      <c r="A160" s="51" t="s">
        <v>96</v>
      </c>
      <c r="B160" s="52" t="s">
        <v>59</v>
      </c>
      <c r="C160" s="48">
        <v>1</v>
      </c>
      <c r="D160" s="54">
        <f>D144</f>
        <v>404055</v>
      </c>
      <c r="E160" s="54">
        <f>C160*D160</f>
        <v>404055</v>
      </c>
      <c r="F160" s="90"/>
      <c r="I160" s="91"/>
      <c r="J160" s="91"/>
    </row>
    <row r="161" spans="1:10">
      <c r="A161" s="51" t="s">
        <v>97</v>
      </c>
      <c r="B161" s="52" t="s">
        <v>4</v>
      </c>
      <c r="C161" s="53">
        <v>15</v>
      </c>
      <c r="D161" s="54"/>
      <c r="E161" s="54"/>
      <c r="F161" s="90"/>
      <c r="I161" s="91"/>
      <c r="J161" s="91"/>
    </row>
    <row r="162" spans="1:10">
      <c r="A162" s="51" t="s">
        <v>98</v>
      </c>
      <c r="B162" s="52" t="s">
        <v>35</v>
      </c>
      <c r="C162" s="100">
        <f>IFERROR(IF(C146&lt;=C145,E144-(C147/(100*C145)*C146)*E144,E144-E147),0)</f>
        <v>140691.951</v>
      </c>
      <c r="D162" s="54"/>
      <c r="E162" s="54"/>
      <c r="F162" s="90"/>
      <c r="I162" s="91"/>
      <c r="J162" s="91"/>
    </row>
    <row r="163" spans="1:10">
      <c r="A163" s="51" t="s">
        <v>99</v>
      </c>
      <c r="B163" s="52" t="s">
        <v>35</v>
      </c>
      <c r="C163" s="54">
        <f>IFERROR(IF(C146&gt;=C145,C162,((((C162)-(E144-E147))*(((C145-C146)+1)/(2*(C145-C146))))+(E144-E147))),0)</f>
        <v>140691.951</v>
      </c>
      <c r="D163" s="54"/>
      <c r="E163" s="54"/>
      <c r="F163" s="90"/>
      <c r="I163" s="91"/>
      <c r="J163" s="91"/>
    </row>
    <row r="164" spans="1:10" ht="13.5" thickBot="1">
      <c r="A164" s="92" t="s">
        <v>100</v>
      </c>
      <c r="B164" s="93" t="s">
        <v>35</v>
      </c>
      <c r="C164" s="93"/>
      <c r="D164" s="94">
        <f>C161*C163/12/100</f>
        <v>1758.6493875000001</v>
      </c>
      <c r="E164" s="94">
        <f>D164</f>
        <v>1758.6493875000001</v>
      </c>
      <c r="F164" s="90"/>
      <c r="I164" s="91"/>
      <c r="J164" s="91"/>
    </row>
    <row r="165" spans="1:10" ht="13.5" thickTop="1">
      <c r="A165" s="47" t="s">
        <v>291</v>
      </c>
      <c r="B165" s="48" t="s">
        <v>59</v>
      </c>
      <c r="C165" s="48">
        <f>C149</f>
        <v>1</v>
      </c>
      <c r="D165" s="50">
        <f>D149</f>
        <v>100000</v>
      </c>
      <c r="E165" s="50">
        <f>C165*D165</f>
        <v>100000</v>
      </c>
      <c r="F165" s="90"/>
      <c r="I165" s="91"/>
      <c r="J165" s="91"/>
    </row>
    <row r="166" spans="1:10">
      <c r="A166" s="51" t="s">
        <v>97</v>
      </c>
      <c r="B166" s="52" t="s">
        <v>4</v>
      </c>
      <c r="C166" s="218">
        <f>C161</f>
        <v>15</v>
      </c>
      <c r="D166" s="54"/>
      <c r="E166" s="54"/>
      <c r="F166" s="90"/>
      <c r="I166" s="91"/>
      <c r="J166" s="91"/>
    </row>
    <row r="167" spans="1:10">
      <c r="A167" s="51" t="s">
        <v>102</v>
      </c>
      <c r="B167" s="52" t="s">
        <v>35</v>
      </c>
      <c r="C167" s="100">
        <f>IFERROR(IF(C151&lt;=C150,E149-(C152/(100*C150)*C151)*E149,E149-E152),0)</f>
        <v>34819.999999999993</v>
      </c>
      <c r="D167" s="54"/>
      <c r="E167" s="54"/>
      <c r="F167" s="90"/>
      <c r="I167" s="91"/>
      <c r="J167" s="91"/>
    </row>
    <row r="168" spans="1:10">
      <c r="A168" s="51" t="s">
        <v>292</v>
      </c>
      <c r="B168" s="52" t="s">
        <v>35</v>
      </c>
      <c r="C168" s="54">
        <f>IFERROR(IF(C151&gt;=C150,C167,((((C167)-(E149-E152))*(((C150-C151)+1)/(2*(C150-C151))))+(E149-E152))),0)</f>
        <v>34819.999999999993</v>
      </c>
      <c r="D168" s="54"/>
      <c r="E168" s="54"/>
      <c r="F168" s="90"/>
      <c r="I168" s="91"/>
      <c r="J168" s="91"/>
    </row>
    <row r="169" spans="1:10">
      <c r="A169" s="66" t="s">
        <v>293</v>
      </c>
      <c r="B169" s="39" t="s">
        <v>35</v>
      </c>
      <c r="C169" s="39"/>
      <c r="D169" s="10">
        <f>C166*C168/12/100</f>
        <v>435.24999999999994</v>
      </c>
      <c r="E169" s="10">
        <f>D169</f>
        <v>435.24999999999994</v>
      </c>
      <c r="F169" s="90"/>
      <c r="I169" s="91"/>
      <c r="J169" s="91"/>
    </row>
    <row r="170" spans="1:10">
      <c r="A170" s="55" t="s">
        <v>92</v>
      </c>
      <c r="B170" s="56"/>
      <c r="C170" s="56"/>
      <c r="D170" s="57"/>
      <c r="E170" s="58">
        <f>E164+E169</f>
        <v>2193.8993875000001</v>
      </c>
      <c r="F170" s="90"/>
      <c r="I170" s="91"/>
      <c r="J170" s="91"/>
    </row>
    <row r="171" spans="1:10">
      <c r="A171" s="66" t="s">
        <v>93</v>
      </c>
      <c r="B171" s="39" t="s">
        <v>59</v>
      </c>
      <c r="C171" s="52">
        <v>2</v>
      </c>
      <c r="D171" s="10">
        <f>E170</f>
        <v>2193.8993875000001</v>
      </c>
      <c r="E171" s="58">
        <f>C171*D171</f>
        <v>4387.7987750000002</v>
      </c>
      <c r="F171" s="90"/>
      <c r="I171" s="91"/>
      <c r="J171" s="91"/>
    </row>
    <row r="172" spans="1:10">
      <c r="C172" s="101"/>
      <c r="D172" s="61" t="s">
        <v>43</v>
      </c>
      <c r="E172" s="62">
        <v>1.1000000000000001</v>
      </c>
      <c r="F172" s="88">
        <f>E171*E172</f>
        <v>4826.5786525000003</v>
      </c>
      <c r="I172" s="91"/>
      <c r="J172" s="91"/>
    </row>
    <row r="173" spans="1:10" ht="11.25" customHeight="1">
      <c r="I173" s="91"/>
      <c r="J173" s="91"/>
    </row>
    <row r="174" spans="1:10">
      <c r="A174" s="3" t="s">
        <v>105</v>
      </c>
      <c r="I174" s="91"/>
      <c r="J174" s="91"/>
    </row>
    <row r="175" spans="1:10">
      <c r="A175" s="45" t="s">
        <v>22</v>
      </c>
      <c r="B175" s="45" t="s">
        <v>23</v>
      </c>
      <c r="C175" s="45" t="s">
        <v>15</v>
      </c>
      <c r="D175" s="46" t="s">
        <v>24</v>
      </c>
      <c r="E175" s="46" t="s">
        <v>25</v>
      </c>
      <c r="F175" s="46" t="s">
        <v>26</v>
      </c>
      <c r="I175" s="91"/>
      <c r="J175" s="91"/>
    </row>
    <row r="176" spans="1:10">
      <c r="A176" s="47" t="s">
        <v>106</v>
      </c>
      <c r="B176" s="48" t="s">
        <v>59</v>
      </c>
      <c r="C176" s="50">
        <v>2</v>
      </c>
      <c r="D176" s="50">
        <f>0.01*($E$144)</f>
        <v>4040.55</v>
      </c>
      <c r="E176" s="50">
        <f>C176*D176</f>
        <v>8081.1</v>
      </c>
      <c r="I176" s="91"/>
      <c r="J176" s="91"/>
    </row>
    <row r="177" spans="1:10">
      <c r="A177" s="51" t="s">
        <v>107</v>
      </c>
      <c r="B177" s="52" t="s">
        <v>59</v>
      </c>
      <c r="C177" s="50">
        <v>2</v>
      </c>
      <c r="D177" s="76">
        <v>109.27</v>
      </c>
      <c r="E177" s="54">
        <f>C177*D177</f>
        <v>218.54</v>
      </c>
      <c r="I177" s="91"/>
      <c r="J177" s="91"/>
    </row>
    <row r="178" spans="1:10">
      <c r="A178" s="51" t="s">
        <v>108</v>
      </c>
      <c r="B178" s="52" t="s">
        <v>59</v>
      </c>
      <c r="C178" s="50">
        <v>2</v>
      </c>
      <c r="D178" s="76">
        <v>1950</v>
      </c>
      <c r="E178" s="54">
        <f>C178*D178</f>
        <v>3900</v>
      </c>
      <c r="F178" s="57"/>
      <c r="I178" s="91"/>
      <c r="J178" s="91"/>
    </row>
    <row r="179" spans="1:10">
      <c r="A179" s="66" t="s">
        <v>109</v>
      </c>
      <c r="B179" s="39" t="s">
        <v>28</v>
      </c>
      <c r="C179" s="39">
        <v>12</v>
      </c>
      <c r="D179" s="10">
        <f>SUM(E176:E178)</f>
        <v>12199.640000000001</v>
      </c>
      <c r="E179" s="10">
        <f>D179/C179</f>
        <v>1016.6366666666668</v>
      </c>
      <c r="I179" s="91"/>
      <c r="J179" s="91"/>
    </row>
    <row r="180" spans="1:10">
      <c r="D180" s="61" t="s">
        <v>43</v>
      </c>
      <c r="E180" s="62">
        <v>1</v>
      </c>
      <c r="F180" s="63">
        <f>E179*E180</f>
        <v>1016.6366666666668</v>
      </c>
      <c r="I180" s="91"/>
      <c r="J180" s="91"/>
    </row>
    <row r="181" spans="1:10" ht="8.25" customHeight="1">
      <c r="I181" s="91"/>
      <c r="J181" s="91"/>
    </row>
    <row r="182" spans="1:10">
      <c r="A182" s="3" t="s">
        <v>110</v>
      </c>
      <c r="B182" s="102"/>
      <c r="I182" s="91"/>
      <c r="J182" s="91"/>
    </row>
    <row r="183" spans="1:10">
      <c r="B183" s="102"/>
      <c r="I183" s="91"/>
      <c r="J183" s="91"/>
    </row>
    <row r="184" spans="1:10">
      <c r="A184" s="66" t="s">
        <v>111</v>
      </c>
      <c r="B184" s="103">
        <v>4050</v>
      </c>
      <c r="I184" s="91"/>
      <c r="J184" s="91"/>
    </row>
    <row r="185" spans="1:10" ht="7.5" customHeight="1">
      <c r="B185" s="102"/>
      <c r="I185" s="91"/>
      <c r="J185" s="91"/>
    </row>
    <row r="186" spans="1:10">
      <c r="A186" s="45" t="s">
        <v>22</v>
      </c>
      <c r="B186" s="45" t="s">
        <v>23</v>
      </c>
      <c r="C186" s="45" t="s">
        <v>112</v>
      </c>
      <c r="D186" s="46" t="s">
        <v>24</v>
      </c>
      <c r="E186" s="46" t="s">
        <v>25</v>
      </c>
      <c r="F186" s="46" t="s">
        <v>26</v>
      </c>
      <c r="I186" s="91"/>
      <c r="J186" s="91"/>
    </row>
    <row r="187" spans="1:10">
      <c r="A187" s="47" t="s">
        <v>113</v>
      </c>
      <c r="B187" s="48" t="s">
        <v>114</v>
      </c>
      <c r="C187" s="104">
        <v>2.5</v>
      </c>
      <c r="D187" s="105">
        <v>6.09</v>
      </c>
      <c r="E187" s="50"/>
      <c r="I187" s="91"/>
      <c r="J187" s="91"/>
    </row>
    <row r="188" spans="1:10">
      <c r="A188" s="51" t="s">
        <v>115</v>
      </c>
      <c r="B188" s="52" t="s">
        <v>116</v>
      </c>
      <c r="C188" s="70">
        <f>B184</f>
        <v>4050</v>
      </c>
      <c r="D188" s="106">
        <f>IFERROR(+D187/C187,"-")</f>
        <v>2.4359999999999999</v>
      </c>
      <c r="E188" s="54">
        <f>IFERROR(C188*D188,"-")</f>
        <v>9865.7999999999993</v>
      </c>
      <c r="I188" s="91"/>
      <c r="J188" s="91"/>
    </row>
    <row r="189" spans="1:10">
      <c r="A189" s="51" t="s">
        <v>117</v>
      </c>
      <c r="B189" s="52" t="s">
        <v>118</v>
      </c>
      <c r="C189" s="107">
        <v>2.5</v>
      </c>
      <c r="D189" s="76">
        <v>30.34</v>
      </c>
      <c r="E189" s="54"/>
      <c r="I189" s="91"/>
      <c r="J189" s="91"/>
    </row>
    <row r="190" spans="1:10">
      <c r="A190" s="51" t="s">
        <v>119</v>
      </c>
      <c r="B190" s="52" t="s">
        <v>116</v>
      </c>
      <c r="C190" s="70">
        <f>C188</f>
        <v>4050</v>
      </c>
      <c r="D190" s="108">
        <f>+C189*D189/1000</f>
        <v>7.5850000000000001E-2</v>
      </c>
      <c r="E190" s="54">
        <f>C190*D190</f>
        <v>307.1925</v>
      </c>
      <c r="I190" s="91"/>
      <c r="J190" s="91"/>
    </row>
    <row r="191" spans="1:10">
      <c r="A191" s="51" t="s">
        <v>120</v>
      </c>
      <c r="B191" s="52" t="s">
        <v>118</v>
      </c>
      <c r="C191" s="107">
        <v>0.32</v>
      </c>
      <c r="D191" s="76">
        <v>23.8</v>
      </c>
      <c r="E191" s="54"/>
      <c r="I191" s="91"/>
      <c r="J191" s="91"/>
    </row>
    <row r="192" spans="1:10">
      <c r="A192" s="51" t="s">
        <v>121</v>
      </c>
      <c r="B192" s="52" t="s">
        <v>116</v>
      </c>
      <c r="C192" s="70">
        <f>C188</f>
        <v>4050</v>
      </c>
      <c r="D192" s="108">
        <f>+C191*D191/1000</f>
        <v>7.6160000000000004E-3</v>
      </c>
      <c r="E192" s="54">
        <f>C192*D192</f>
        <v>30.844800000000003</v>
      </c>
      <c r="I192" s="91"/>
      <c r="J192" s="91"/>
    </row>
    <row r="193" spans="1:10">
      <c r="A193" s="51" t="s">
        <v>122</v>
      </c>
      <c r="B193" s="52" t="s">
        <v>118</v>
      </c>
      <c r="C193" s="107">
        <v>1.48</v>
      </c>
      <c r="D193" s="76">
        <v>14.25</v>
      </c>
      <c r="E193" s="54"/>
      <c r="I193" s="91"/>
      <c r="J193" s="91"/>
    </row>
    <row r="194" spans="1:10">
      <c r="A194" s="51" t="s">
        <v>123</v>
      </c>
      <c r="B194" s="52" t="s">
        <v>116</v>
      </c>
      <c r="C194" s="70">
        <f>C188</f>
        <v>4050</v>
      </c>
      <c r="D194" s="108">
        <f>+C193*D193/1000</f>
        <v>2.1090000000000001E-2</v>
      </c>
      <c r="E194" s="54">
        <f>C194*D194</f>
        <v>85.414500000000004</v>
      </c>
      <c r="I194" s="91"/>
      <c r="J194" s="91"/>
    </row>
    <row r="195" spans="1:10">
      <c r="A195" s="51" t="s">
        <v>124</v>
      </c>
      <c r="B195" s="52" t="s">
        <v>125</v>
      </c>
      <c r="C195" s="107">
        <v>0.5</v>
      </c>
      <c r="D195" s="76">
        <v>17.559999999999999</v>
      </c>
      <c r="E195" s="54"/>
      <c r="I195" s="91"/>
      <c r="J195" s="91"/>
    </row>
    <row r="196" spans="1:10">
      <c r="A196" s="51" t="s">
        <v>126</v>
      </c>
      <c r="B196" s="52" t="s">
        <v>116</v>
      </c>
      <c r="C196" s="70">
        <f>C188</f>
        <v>4050</v>
      </c>
      <c r="D196" s="108">
        <f>+C195*D195/1000</f>
        <v>8.7799999999999996E-3</v>
      </c>
      <c r="E196" s="54">
        <f>C196*D196</f>
        <v>35.558999999999997</v>
      </c>
      <c r="I196" s="91"/>
      <c r="J196" s="91"/>
    </row>
    <row r="197" spans="1:10">
      <c r="A197" s="66" t="s">
        <v>127</v>
      </c>
      <c r="B197" s="39" t="s">
        <v>128</v>
      </c>
      <c r="C197" s="109"/>
      <c r="D197" s="110">
        <f>IFERROR(D188+D190+D192+D194+D196,0)</f>
        <v>2.5493359999999998</v>
      </c>
      <c r="E197" s="54"/>
      <c r="I197" s="91"/>
      <c r="J197" s="91"/>
    </row>
    <row r="198" spans="1:10">
      <c r="F198" s="88">
        <f>SUM(E187:E196)</f>
        <v>10324.810799999999</v>
      </c>
      <c r="I198" s="91"/>
      <c r="J198" s="91"/>
    </row>
    <row r="199" spans="1:10" ht="6" customHeight="1">
      <c r="I199" s="91"/>
      <c r="J199" s="91"/>
    </row>
    <row r="200" spans="1:10">
      <c r="A200" s="3" t="s">
        <v>129</v>
      </c>
      <c r="I200" s="91"/>
      <c r="J200" s="91"/>
    </row>
    <row r="201" spans="1:10">
      <c r="A201" s="45" t="s">
        <v>22</v>
      </c>
      <c r="B201" s="45" t="s">
        <v>23</v>
      </c>
      <c r="C201" s="45" t="s">
        <v>15</v>
      </c>
      <c r="D201" s="46" t="s">
        <v>24</v>
      </c>
      <c r="E201" s="46" t="s">
        <v>25</v>
      </c>
      <c r="F201" s="46" t="s">
        <v>26</v>
      </c>
      <c r="I201" s="91"/>
      <c r="J201" s="91"/>
    </row>
    <row r="202" spans="1:10">
      <c r="A202" s="47" t="s">
        <v>130</v>
      </c>
      <c r="B202" s="48" t="s">
        <v>128</v>
      </c>
      <c r="C202" s="70">
        <f>C188</f>
        <v>4050</v>
      </c>
      <c r="D202" s="49">
        <v>0.95</v>
      </c>
      <c r="E202" s="50">
        <f>C202*D202</f>
        <v>3847.5</v>
      </c>
      <c r="I202" s="91"/>
      <c r="J202" s="91"/>
    </row>
    <row r="203" spans="1:10">
      <c r="F203" s="88">
        <f>E202</f>
        <v>3847.5</v>
      </c>
      <c r="I203" s="91"/>
      <c r="J203" s="91"/>
    </row>
    <row r="204" spans="1:10" ht="6.75" customHeight="1">
      <c r="I204" s="91"/>
      <c r="J204" s="91"/>
    </row>
    <row r="205" spans="1:10">
      <c r="A205" s="3" t="s">
        <v>131</v>
      </c>
      <c r="I205" s="91"/>
      <c r="J205" s="91"/>
    </row>
    <row r="206" spans="1:10">
      <c r="A206" s="45" t="s">
        <v>22</v>
      </c>
      <c r="B206" s="45" t="s">
        <v>23</v>
      </c>
      <c r="C206" s="45" t="s">
        <v>15</v>
      </c>
      <c r="D206" s="46" t="s">
        <v>24</v>
      </c>
      <c r="E206" s="46" t="s">
        <v>25</v>
      </c>
      <c r="F206" s="46" t="s">
        <v>26</v>
      </c>
      <c r="I206" s="91"/>
      <c r="J206" s="91"/>
    </row>
    <row r="207" spans="1:10">
      <c r="A207" s="47" t="s">
        <v>132</v>
      </c>
      <c r="B207" s="48" t="s">
        <v>59</v>
      </c>
      <c r="C207" s="111">
        <v>6</v>
      </c>
      <c r="D207" s="49">
        <v>1950</v>
      </c>
      <c r="E207" s="50">
        <f>C207*D207</f>
        <v>11700</v>
      </c>
      <c r="I207" s="91"/>
      <c r="J207" s="91"/>
    </row>
    <row r="208" spans="1:10">
      <c r="A208" s="47" t="s">
        <v>133</v>
      </c>
      <c r="B208" s="48" t="s">
        <v>59</v>
      </c>
      <c r="C208" s="111">
        <v>1</v>
      </c>
      <c r="D208" s="50"/>
      <c r="E208" s="50"/>
      <c r="I208" s="91"/>
      <c r="J208" s="91"/>
    </row>
    <row r="209" spans="1:10">
      <c r="A209" s="47" t="s">
        <v>134</v>
      </c>
      <c r="B209" s="48" t="s">
        <v>59</v>
      </c>
      <c r="C209" s="50">
        <f>C207*C208</f>
        <v>6</v>
      </c>
      <c r="D209" s="49">
        <v>490</v>
      </c>
      <c r="E209" s="50">
        <f>C209*D209</f>
        <v>2940</v>
      </c>
      <c r="I209" s="91"/>
      <c r="J209" s="91"/>
    </row>
    <row r="210" spans="1:10">
      <c r="A210" s="51" t="s">
        <v>135</v>
      </c>
      <c r="B210" s="52" t="s">
        <v>136</v>
      </c>
      <c r="C210" s="112">
        <v>80000</v>
      </c>
      <c r="D210" s="54">
        <f>E207+E209</f>
        <v>14640</v>
      </c>
      <c r="E210" s="54">
        <f>IFERROR(D210/C210,"-")</f>
        <v>0.183</v>
      </c>
      <c r="I210" s="91"/>
      <c r="J210" s="91"/>
    </row>
    <row r="211" spans="1:10">
      <c r="A211" s="51" t="s">
        <v>137</v>
      </c>
      <c r="B211" s="52" t="s">
        <v>116</v>
      </c>
      <c r="C211" s="70">
        <f>B184</f>
        <v>4050</v>
      </c>
      <c r="D211" s="54">
        <f>E210</f>
        <v>0.183</v>
      </c>
      <c r="E211" s="54">
        <f>IFERROR(C211*D211,0)</f>
        <v>741.15</v>
      </c>
      <c r="I211" s="91"/>
      <c r="J211" s="91"/>
    </row>
    <row r="212" spans="1:10">
      <c r="F212" s="88">
        <f>E211</f>
        <v>741.15</v>
      </c>
      <c r="I212" s="91"/>
      <c r="J212" s="91"/>
    </row>
    <row r="213" spans="1:10" ht="11.25" hidden="1" customHeight="1">
      <c r="I213" s="91"/>
      <c r="J213" s="91"/>
    </row>
    <row r="214" spans="1:10" ht="11.25" hidden="1" customHeight="1">
      <c r="G214" s="3"/>
    </row>
    <row r="215" spans="1:10" ht="11.25" hidden="1" customHeight="1">
      <c r="G215" s="3"/>
    </row>
    <row r="216" spans="1:10" ht="6" customHeight="1">
      <c r="G216" s="3"/>
    </row>
    <row r="217" spans="1:10">
      <c r="A217" s="77" t="s">
        <v>143</v>
      </c>
      <c r="B217" s="78"/>
      <c r="C217" s="78"/>
      <c r="D217" s="8"/>
      <c r="E217" s="79"/>
      <c r="F217" s="88">
        <f>+SUM(F144:F214)</f>
        <v>26779.965350833336</v>
      </c>
      <c r="G217" s="3"/>
    </row>
    <row r="218" spans="1:10" ht="11.25" customHeight="1">
      <c r="G218" s="3"/>
    </row>
    <row r="219" spans="1:10">
      <c r="A219" s="15" t="s">
        <v>144</v>
      </c>
      <c r="B219" s="15"/>
      <c r="C219" s="15"/>
      <c r="D219" s="14"/>
      <c r="E219" s="14"/>
      <c r="F219" s="57"/>
      <c r="G219" s="3"/>
    </row>
    <row r="220" spans="1:10" ht="11.25" customHeight="1">
      <c r="G220" s="3"/>
    </row>
    <row r="221" spans="1:10">
      <c r="A221" s="45" t="s">
        <v>22</v>
      </c>
      <c r="B221" s="45" t="s">
        <v>23</v>
      </c>
      <c r="C221" s="45" t="s">
        <v>15</v>
      </c>
      <c r="D221" s="46" t="s">
        <v>24</v>
      </c>
      <c r="E221" s="46" t="s">
        <v>25</v>
      </c>
      <c r="F221" s="46" t="s">
        <v>26</v>
      </c>
      <c r="G221" s="3"/>
    </row>
    <row r="222" spans="1:10">
      <c r="A222" s="51" t="s">
        <v>145</v>
      </c>
      <c r="B222" s="52" t="s">
        <v>59</v>
      </c>
      <c r="C222" s="81">
        <v>8.3333333333333301E-2</v>
      </c>
      <c r="D222" s="49">
        <v>36.49</v>
      </c>
      <c r="E222" s="54">
        <f>C222*D222*2</f>
        <v>6.0816666666666643</v>
      </c>
      <c r="F222" s="90"/>
      <c r="G222" s="3"/>
    </row>
    <row r="223" spans="1:10">
      <c r="A223" s="51" t="s">
        <v>146</v>
      </c>
      <c r="B223" s="52" t="s">
        <v>59</v>
      </c>
      <c r="C223" s="81">
        <v>8.3333333333333301E-2</v>
      </c>
      <c r="D223" s="49">
        <v>31.98</v>
      </c>
      <c r="E223" s="54">
        <f>C223*D223*2</f>
        <v>5.3299999999999983</v>
      </c>
      <c r="F223" s="90"/>
      <c r="G223" s="3"/>
    </row>
    <row r="224" spans="1:10">
      <c r="A224" s="51" t="s">
        <v>147</v>
      </c>
      <c r="B224" s="52" t="s">
        <v>59</v>
      </c>
      <c r="C224" s="81">
        <v>0.16666666666666699</v>
      </c>
      <c r="D224" s="49">
        <v>17.16</v>
      </c>
      <c r="E224" s="54">
        <f>C224*D224*2</f>
        <v>5.7200000000000113</v>
      </c>
      <c r="F224" s="90"/>
      <c r="G224" s="3"/>
    </row>
    <row r="225" spans="1:64">
      <c r="A225" s="51" t="s">
        <v>148</v>
      </c>
      <c r="B225" s="52" t="s">
        <v>149</v>
      </c>
      <c r="C225" s="81"/>
      <c r="D225" s="49"/>
      <c r="E225" s="54">
        <f>C225*D225</f>
        <v>0</v>
      </c>
      <c r="F225" s="90"/>
      <c r="G225" s="3"/>
    </row>
    <row r="226" spans="1:64">
      <c r="A226" s="51" t="s">
        <v>150</v>
      </c>
      <c r="B226" s="52" t="s">
        <v>149</v>
      </c>
      <c r="C226" s="81"/>
      <c r="D226" s="49"/>
      <c r="E226" s="54">
        <f>C226*D226</f>
        <v>0</v>
      </c>
      <c r="F226" s="90"/>
      <c r="G226" s="3"/>
    </row>
    <row r="227" spans="1:64">
      <c r="A227" s="15"/>
      <c r="B227" s="15"/>
      <c r="C227" s="15"/>
      <c r="D227" s="15"/>
      <c r="E227" s="14"/>
      <c r="F227" s="88">
        <f>SUM(E222:E226)</f>
        <v>17.131666666666675</v>
      </c>
      <c r="G227" s="3"/>
    </row>
    <row r="228" spans="1:64" ht="6.75" customHeight="1">
      <c r="G228" s="3"/>
    </row>
    <row r="229" spans="1:64">
      <c r="A229" s="77" t="s">
        <v>151</v>
      </c>
      <c r="B229" s="78"/>
      <c r="C229" s="78"/>
      <c r="D229" s="8"/>
      <c r="E229" s="79"/>
      <c r="F229" s="88">
        <f>+F227</f>
        <v>17.131666666666675</v>
      </c>
      <c r="G229" s="3"/>
    </row>
    <row r="230" spans="1:64" ht="6.75" customHeight="1">
      <c r="G230" s="3"/>
    </row>
    <row r="231" spans="1:64">
      <c r="A231" s="15" t="s">
        <v>152</v>
      </c>
      <c r="B231" s="15"/>
      <c r="C231" s="15"/>
      <c r="D231" s="14"/>
      <c r="E231" s="14"/>
      <c r="F231" s="57"/>
    </row>
    <row r="232" spans="1:64" ht="6.75" customHeight="1"/>
    <row r="233" spans="1:64">
      <c r="A233" s="45" t="s">
        <v>22</v>
      </c>
      <c r="B233" s="45" t="s">
        <v>23</v>
      </c>
      <c r="C233" s="45" t="s">
        <v>15</v>
      </c>
      <c r="D233" s="46" t="s">
        <v>24</v>
      </c>
      <c r="E233" s="46" t="s">
        <v>25</v>
      </c>
      <c r="F233" s="46" t="s">
        <v>26</v>
      </c>
    </row>
    <row r="234" spans="1:64">
      <c r="A234" s="51" t="s">
        <v>153</v>
      </c>
      <c r="B234" s="115" t="s">
        <v>149</v>
      </c>
      <c r="C234" s="86">
        <v>2</v>
      </c>
      <c r="D234" s="76">
        <v>75</v>
      </c>
      <c r="E234" s="54">
        <f>+D234*C234</f>
        <v>150</v>
      </c>
      <c r="F234" s="90"/>
    </row>
    <row r="235" spans="1:64">
      <c r="A235" s="51" t="s">
        <v>154</v>
      </c>
      <c r="B235" s="115" t="s">
        <v>28</v>
      </c>
      <c r="C235" s="52">
        <v>60</v>
      </c>
      <c r="D235" s="116">
        <f>SUM(E234:E234)</f>
        <v>150</v>
      </c>
      <c r="E235" s="116">
        <f>+D235/C235</f>
        <v>2.5</v>
      </c>
      <c r="F235" s="90"/>
    </row>
    <row r="236" spans="1:64">
      <c r="A236" s="51" t="s">
        <v>155</v>
      </c>
      <c r="B236" s="52" t="s">
        <v>59</v>
      </c>
      <c r="C236" s="86">
        <f>+C234</f>
        <v>2</v>
      </c>
      <c r="D236" s="76">
        <v>75</v>
      </c>
      <c r="E236" s="54">
        <f>C236*D236</f>
        <v>150</v>
      </c>
      <c r="F236" s="90"/>
    </row>
    <row r="237" spans="1:64">
      <c r="A237" s="51" t="s">
        <v>156</v>
      </c>
      <c r="B237" s="115" t="s">
        <v>28</v>
      </c>
      <c r="C237" s="52">
        <v>1</v>
      </c>
      <c r="D237" s="116">
        <f>+E236</f>
        <v>150</v>
      </c>
      <c r="E237" s="116">
        <f>+D237/C237</f>
        <v>150</v>
      </c>
      <c r="F237" s="90"/>
    </row>
    <row r="238" spans="1:64">
      <c r="A238" s="64"/>
      <c r="B238" s="64"/>
      <c r="C238" s="64"/>
      <c r="D238" s="61" t="s">
        <v>43</v>
      </c>
      <c r="E238" s="62">
        <f>$B$45</f>
        <v>1</v>
      </c>
      <c r="F238" s="88">
        <f>(E235+E237)*E238</f>
        <v>152.5</v>
      </c>
    </row>
    <row r="239" spans="1:64" ht="9" customHeight="1">
      <c r="G239" s="117"/>
      <c r="H239" s="72"/>
      <c r="I239" s="72"/>
      <c r="J239" s="72"/>
      <c r="K239" s="72"/>
      <c r="L239" s="72"/>
      <c r="M239" s="72"/>
      <c r="N239" s="72"/>
      <c r="O239" s="72"/>
      <c r="P239" s="72"/>
      <c r="Q239" s="72"/>
      <c r="R239" s="72"/>
      <c r="S239" s="72"/>
      <c r="T239" s="72"/>
      <c r="U239" s="72"/>
      <c r="V239" s="72"/>
      <c r="W239" s="72"/>
      <c r="X239" s="72"/>
      <c r="Y239" s="72"/>
      <c r="Z239" s="72"/>
      <c r="AA239" s="72"/>
      <c r="AB239" s="72"/>
      <c r="AC239" s="72"/>
      <c r="AD239" s="72"/>
      <c r="AE239" s="72"/>
      <c r="AF239" s="72"/>
      <c r="AG239" s="72"/>
      <c r="AH239" s="72"/>
      <c r="AI239" s="72"/>
      <c r="AJ239" s="72"/>
      <c r="AK239" s="72"/>
      <c r="AL239" s="72"/>
      <c r="AM239" s="72"/>
      <c r="AN239" s="72"/>
      <c r="AO239" s="72"/>
      <c r="AP239" s="72"/>
      <c r="AQ239" s="72"/>
      <c r="AR239" s="72"/>
      <c r="AS239" s="72"/>
      <c r="AT239" s="72"/>
      <c r="AU239" s="72"/>
      <c r="AV239" s="72"/>
      <c r="AW239" s="72"/>
      <c r="AX239" s="72"/>
      <c r="AY239" s="72"/>
      <c r="AZ239" s="72"/>
      <c r="BA239" s="72"/>
      <c r="BB239" s="72"/>
      <c r="BC239" s="72"/>
      <c r="BD239" s="72"/>
      <c r="BE239" s="72"/>
      <c r="BF239" s="72"/>
      <c r="BG239" s="72"/>
      <c r="BH239" s="72"/>
      <c r="BI239" s="72"/>
      <c r="BJ239" s="72"/>
      <c r="BK239" s="72"/>
      <c r="BL239" s="72"/>
    </row>
    <row r="240" spans="1:64">
      <c r="A240" s="77" t="s">
        <v>157</v>
      </c>
      <c r="B240" s="78"/>
      <c r="C240" s="78"/>
      <c r="D240" s="8"/>
      <c r="E240" s="79"/>
      <c r="F240" s="88">
        <f>+F238</f>
        <v>152.5</v>
      </c>
    </row>
    <row r="241" spans="1:9" ht="5.25" customHeight="1"/>
    <row r="242" spans="1:9" ht="17.25" customHeight="1">
      <c r="A242" s="77" t="s">
        <v>158</v>
      </c>
      <c r="B242" s="40"/>
      <c r="C242" s="40"/>
      <c r="D242" s="29"/>
      <c r="E242" s="87"/>
      <c r="F242" s="75">
        <f>+F104+F136+F217+F229+F240</f>
        <v>66927.028608789129</v>
      </c>
    </row>
    <row r="243" spans="1:9" ht="6" customHeight="1"/>
    <row r="244" spans="1:9">
      <c r="A244" s="15" t="s">
        <v>159</v>
      </c>
    </row>
    <row r="245" spans="1:9" ht="4.5" customHeight="1"/>
    <row r="246" spans="1:9">
      <c r="A246" s="45" t="s">
        <v>22</v>
      </c>
      <c r="B246" s="45" t="s">
        <v>23</v>
      </c>
      <c r="C246" s="45" t="s">
        <v>15</v>
      </c>
      <c r="D246" s="46" t="s">
        <v>24</v>
      </c>
      <c r="E246" s="46" t="s">
        <v>25</v>
      </c>
      <c r="F246" s="46" t="s">
        <v>26</v>
      </c>
    </row>
    <row r="247" spans="1:9">
      <c r="A247" s="47" t="s">
        <v>160</v>
      </c>
      <c r="B247" s="48" t="s">
        <v>4</v>
      </c>
      <c r="C247" s="59">
        <f>'4_BDI'!C20*100</f>
        <v>24.89</v>
      </c>
      <c r="D247" s="50">
        <f>+F242</f>
        <v>66927.028608789129</v>
      </c>
      <c r="E247" s="50">
        <f>C247*D247/100</f>
        <v>16658.137420727617</v>
      </c>
    </row>
    <row r="248" spans="1:9">
      <c r="F248" s="88">
        <f>+E247</f>
        <v>16658.137420727617</v>
      </c>
      <c r="H248" s="265"/>
    </row>
    <row r="249" spans="1:9" ht="5.25" customHeight="1"/>
    <row r="250" spans="1:9">
      <c r="A250" s="77" t="s">
        <v>161</v>
      </c>
      <c r="B250" s="40"/>
      <c r="C250" s="40"/>
      <c r="D250" s="29"/>
      <c r="E250" s="87"/>
      <c r="F250" s="75">
        <f>F248</f>
        <v>16658.137420727617</v>
      </c>
    </row>
    <row r="251" spans="1:9" ht="7.5" customHeight="1">
      <c r="A251" s="15"/>
      <c r="B251" s="15"/>
      <c r="C251" s="15"/>
      <c r="D251" s="14"/>
      <c r="E251" s="14"/>
      <c r="F251" s="57"/>
    </row>
    <row r="252" spans="1:9" ht="11.25" hidden="1" customHeight="1"/>
    <row r="253" spans="1:9" ht="19.5" customHeight="1">
      <c r="A253" s="77" t="s">
        <v>162</v>
      </c>
      <c r="B253" s="40"/>
      <c r="C253" s="40"/>
      <c r="D253" s="29"/>
      <c r="E253" s="87"/>
      <c r="F253" s="266">
        <f>F242+F250</f>
        <v>83585.166029516753</v>
      </c>
      <c r="H253" s="217"/>
      <c r="I253" s="313"/>
    </row>
    <row r="254" spans="1:9" ht="15" customHeight="1" thickBot="1">
      <c r="A254" s="118"/>
      <c r="B254" s="118"/>
      <c r="C254" s="118"/>
      <c r="D254" s="119"/>
      <c r="E254" s="119"/>
      <c r="F254" s="119"/>
    </row>
    <row r="255" spans="1:9" ht="15" customHeight="1" thickBot="1">
      <c r="A255" s="118"/>
      <c r="B255" s="118" t="s">
        <v>359</v>
      </c>
      <c r="C255" s="118"/>
      <c r="D255" s="119"/>
      <c r="E255" s="119"/>
      <c r="F255" s="272">
        <f>F253/2</f>
        <v>41792.583014758377</v>
      </c>
    </row>
    <row r="256" spans="1:9" ht="15" customHeight="1">
      <c r="A256" s="118"/>
      <c r="B256" s="118"/>
      <c r="C256" s="118"/>
      <c r="D256" s="119"/>
      <c r="E256" s="119"/>
      <c r="F256" s="119"/>
    </row>
    <row r="257" spans="1:10" ht="21.75" hidden="1" customHeight="1"/>
    <row r="258" spans="1:10" ht="20.25" hidden="1" customHeight="1">
      <c r="A258" s="319" t="s">
        <v>328</v>
      </c>
      <c r="B258" s="320"/>
      <c r="C258" s="321"/>
      <c r="D258" s="237">
        <f>MemoriaCalculo!G24</f>
        <v>83.64</v>
      </c>
      <c r="E258" s="237" t="s">
        <v>331</v>
      </c>
      <c r="I258" s="3">
        <v>86.4</v>
      </c>
      <c r="J258" s="3">
        <f>F253/I258</f>
        <v>967.42090311940683</v>
      </c>
    </row>
    <row r="259" spans="1:10" ht="12" hidden="1" customHeight="1">
      <c r="A259" s="119"/>
      <c r="B259" s="2"/>
      <c r="C259" s="2"/>
    </row>
    <row r="260" spans="1:10" ht="15.75" hidden="1" customHeight="1">
      <c r="A260" s="322" t="s">
        <v>329</v>
      </c>
      <c r="B260" s="323"/>
      <c r="C260" s="323"/>
      <c r="D260" s="324"/>
      <c r="E260" s="237" t="s">
        <v>330</v>
      </c>
      <c r="F260" s="264">
        <f>IFERROR(F253/D258,"-")</f>
        <v>999.34440494400712</v>
      </c>
    </row>
    <row r="286" spans="4:7" ht="9" customHeight="1">
      <c r="D286" s="3"/>
      <c r="E286" s="3"/>
      <c r="F286" s="3"/>
      <c r="G286" s="3"/>
    </row>
    <row r="331" spans="6:6">
      <c r="F331" s="269"/>
    </row>
    <row r="338" spans="6:6" ht="15.75">
      <c r="F338" s="271"/>
    </row>
  </sheetData>
  <mergeCells count="10">
    <mergeCell ref="A258:C258"/>
    <mergeCell ref="A260:D260"/>
    <mergeCell ref="A39:D39"/>
    <mergeCell ref="A101:F101"/>
    <mergeCell ref="A1:F5"/>
    <mergeCell ref="A6:F8"/>
    <mergeCell ref="A9:F9"/>
    <mergeCell ref="A17:C17"/>
    <mergeCell ref="A32:E32"/>
    <mergeCell ref="A33:D33"/>
  </mergeCells>
  <hyperlinks>
    <hyperlink ref="A142" location="AbaDeprec" display="3.1.1. Depreciação" xr:uid="{7BECF84D-9EF5-49B0-ADB0-88575AC2CBE4}"/>
    <hyperlink ref="A158" location="AbaRemun" display="3.1.2. Remuneração do Capital" xr:uid="{290423CC-99A1-401E-A57A-901CD5981E3C}"/>
  </hyperlinks>
  <pageMargins left="0.9055118110236221" right="0.51181102362204722" top="1.1417322834645669" bottom="1.0236220472440944" header="0.74803149606299213" footer="0.31496062992125984"/>
  <pageSetup paperSize="9" fitToHeight="0" orientation="portrait" r:id="rId1"/>
  <headerFooter alignWithMargins="0">
    <oddFooter>&amp;R&amp;"Arial3,Regular"&amp;P de &amp;N</oddFooter>
  </headerFooter>
  <rowBreaks count="3" manualBreakCount="3">
    <brk id="60" max="5" man="1"/>
    <brk id="136" max="5" man="1"/>
    <brk id="204" max="5" man="1"/>
  </rowBreak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BL59"/>
  <sheetViews>
    <sheetView topLeftCell="A11" workbookViewId="0">
      <selection activeCell="D41" sqref="D41"/>
    </sheetView>
  </sheetViews>
  <sheetFormatPr defaultRowHeight="12.75"/>
  <cols>
    <col min="1" max="1" width="14" style="85" customWidth="1"/>
    <col min="2" max="2" width="40.7109375" style="85" customWidth="1"/>
    <col min="3" max="3" width="15" style="85" customWidth="1"/>
    <col min="4" max="4" width="38.28515625" style="85" customWidth="1"/>
    <col min="5" max="10" width="9.42578125" style="85" customWidth="1"/>
    <col min="11" max="11" width="11.28515625" style="85" customWidth="1"/>
    <col min="12" max="64" width="9.42578125" style="85" customWidth="1"/>
    <col min="65" max="65" width="8.85546875" customWidth="1"/>
  </cols>
  <sheetData>
    <row r="1" spans="1:64">
      <c r="A1" s="333"/>
      <c r="B1" s="333"/>
      <c r="C1" s="333"/>
    </row>
    <row r="2" spans="1:64">
      <c r="A2" s="333"/>
      <c r="B2" s="333"/>
      <c r="C2" s="333"/>
    </row>
    <row r="3" spans="1:64" ht="15.6" customHeight="1">
      <c r="A3" s="333"/>
      <c r="B3" s="333"/>
      <c r="C3" s="333"/>
      <c r="D3" s="122"/>
      <c r="E3" s="122"/>
      <c r="F3" s="122"/>
      <c r="G3" s="4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</row>
    <row r="4" spans="1:64" ht="15.6" customHeight="1">
      <c r="A4" s="333"/>
      <c r="B4" s="333"/>
      <c r="C4" s="333"/>
      <c r="D4" s="122"/>
      <c r="E4" s="122"/>
      <c r="F4" s="122"/>
      <c r="G4" s="4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</row>
    <row r="5" spans="1:64" ht="16.5" customHeight="1">
      <c r="A5" s="333"/>
      <c r="B5" s="333"/>
      <c r="C5" s="333"/>
      <c r="D5" s="4"/>
      <c r="E5" s="4"/>
      <c r="F5" s="4"/>
      <c r="G5" s="4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</row>
    <row r="6" spans="1:64">
      <c r="A6" s="333"/>
      <c r="B6" s="333"/>
      <c r="C6" s="333"/>
    </row>
    <row r="7" spans="1:64" ht="18">
      <c r="A7" s="334" t="s">
        <v>164</v>
      </c>
      <c r="B7" s="334"/>
      <c r="C7" s="334"/>
      <c r="D7" s="123"/>
      <c r="E7" s="123"/>
      <c r="F7" s="123"/>
    </row>
    <row r="8" spans="1:64" ht="14.25">
      <c r="A8" s="124" t="s">
        <v>165</v>
      </c>
      <c r="B8" s="124" t="s">
        <v>166</v>
      </c>
      <c r="C8" s="124" t="s">
        <v>167</v>
      </c>
      <c r="D8" s="125"/>
    </row>
    <row r="9" spans="1:64" ht="14.25">
      <c r="A9" s="124" t="s">
        <v>168</v>
      </c>
      <c r="B9" s="124" t="s">
        <v>169</v>
      </c>
      <c r="C9" s="126">
        <v>0.2</v>
      </c>
      <c r="D9" s="125"/>
    </row>
    <row r="10" spans="1:64" ht="14.25">
      <c r="A10" s="124" t="s">
        <v>170</v>
      </c>
      <c r="B10" s="124" t="s">
        <v>171</v>
      </c>
      <c r="C10" s="126">
        <v>1.4999999999999999E-2</v>
      </c>
      <c r="D10" s="125"/>
    </row>
    <row r="11" spans="1:64" ht="14.25">
      <c r="A11" s="124" t="s">
        <v>172</v>
      </c>
      <c r="B11" s="124" t="s">
        <v>173</v>
      </c>
      <c r="C11" s="126">
        <v>0.01</v>
      </c>
      <c r="D11" s="125"/>
    </row>
    <row r="12" spans="1:64" ht="14.25">
      <c r="A12" s="124" t="s">
        <v>174</v>
      </c>
      <c r="B12" s="124" t="s">
        <v>175</v>
      </c>
      <c r="C12" s="126">
        <v>2E-3</v>
      </c>
      <c r="D12" s="125"/>
    </row>
    <row r="13" spans="1:64" ht="14.25">
      <c r="A13" s="124" t="s">
        <v>176</v>
      </c>
      <c r="B13" s="124" t="s">
        <v>177</v>
      </c>
      <c r="C13" s="126">
        <v>6.0000000000000001E-3</v>
      </c>
      <c r="D13" s="125"/>
    </row>
    <row r="14" spans="1:64" ht="14.25">
      <c r="A14" s="124" t="s">
        <v>178</v>
      </c>
      <c r="B14" s="124" t="s">
        <v>179</v>
      </c>
      <c r="C14" s="126">
        <v>2.5000000000000001E-2</v>
      </c>
      <c r="D14" s="125"/>
    </row>
    <row r="15" spans="1:64" ht="14.25">
      <c r="A15" s="124" t="s">
        <v>180</v>
      </c>
      <c r="B15" s="124" t="s">
        <v>181</v>
      </c>
      <c r="C15" s="126">
        <v>0.03</v>
      </c>
      <c r="D15" s="125"/>
    </row>
    <row r="16" spans="1:64" ht="14.25">
      <c r="A16" s="124" t="s">
        <v>182</v>
      </c>
      <c r="B16" s="124" t="s">
        <v>183</v>
      </c>
      <c r="C16" s="126">
        <v>0.08</v>
      </c>
      <c r="D16" s="125"/>
    </row>
    <row r="17" spans="1:8" ht="15">
      <c r="A17" s="124" t="s">
        <v>184</v>
      </c>
      <c r="B17" s="127" t="s">
        <v>185</v>
      </c>
      <c r="C17" s="128">
        <f>SUM(C9:C16)</f>
        <v>0.36800000000000005</v>
      </c>
      <c r="D17" s="125"/>
    </row>
    <row r="18" spans="1:8" ht="15">
      <c r="A18" s="129"/>
      <c r="B18" s="130"/>
      <c r="C18" s="131"/>
      <c r="D18" s="125"/>
    </row>
    <row r="19" spans="1:8" ht="14.25">
      <c r="A19" s="124" t="s">
        <v>186</v>
      </c>
      <c r="B19" s="124" t="s">
        <v>187</v>
      </c>
      <c r="C19" s="126">
        <f>ROUND(IF('3_CAGED'!C28&gt;24,(1-12/'3_CAGED'!C28)*0.1111,0.1111-C28),4)</f>
        <v>6.1899999999999997E-2</v>
      </c>
      <c r="D19" s="125"/>
    </row>
    <row r="20" spans="1:8" ht="14.25">
      <c r="A20" s="124" t="s">
        <v>188</v>
      </c>
      <c r="B20" s="124" t="s">
        <v>189</v>
      </c>
      <c r="C20" s="126">
        <f>ROUND('3_CAGED'!C32/'3_CAGED'!C29,4)</f>
        <v>8.3299999999999999E-2</v>
      </c>
      <c r="D20" s="125"/>
    </row>
    <row r="21" spans="1:8" ht="14.25">
      <c r="A21" s="124" t="s">
        <v>190</v>
      </c>
      <c r="B21" s="124" t="s">
        <v>191</v>
      </c>
      <c r="C21" s="126">
        <v>5.9999999999999995E-4</v>
      </c>
      <c r="D21" s="125"/>
    </row>
    <row r="22" spans="1:8" ht="14.25">
      <c r="A22" s="124" t="s">
        <v>192</v>
      </c>
      <c r="B22" s="124" t="s">
        <v>193</v>
      </c>
      <c r="C22" s="126">
        <v>8.2000000000000007E-3</v>
      </c>
      <c r="D22" s="125"/>
    </row>
    <row r="23" spans="1:8" ht="14.25">
      <c r="A23" s="124" t="s">
        <v>194</v>
      </c>
      <c r="B23" s="124" t="s">
        <v>195</v>
      </c>
      <c r="C23" s="126">
        <v>3.0999999999999999E-3</v>
      </c>
      <c r="D23" s="125"/>
    </row>
    <row r="24" spans="1:8" ht="14.25">
      <c r="A24" s="124" t="s">
        <v>196</v>
      </c>
      <c r="B24" s="124" t="s">
        <v>197</v>
      </c>
      <c r="C24" s="126">
        <v>1.66E-2</v>
      </c>
      <c r="D24" s="125"/>
    </row>
    <row r="25" spans="1:8" ht="15">
      <c r="A25" s="124" t="s">
        <v>198</v>
      </c>
      <c r="B25" s="127" t="s">
        <v>199</v>
      </c>
      <c r="C25" s="128">
        <f>SUM(C19:C24)</f>
        <v>0.17369999999999999</v>
      </c>
      <c r="D25" s="132"/>
    </row>
    <row r="26" spans="1:8" ht="15">
      <c r="A26" s="129"/>
      <c r="B26" s="130"/>
      <c r="C26" s="131"/>
      <c r="D26" s="132"/>
    </row>
    <row r="27" spans="1:8" ht="14.25">
      <c r="A27" s="124" t="s">
        <v>200</v>
      </c>
      <c r="B27" s="124" t="s">
        <v>201</v>
      </c>
      <c r="C27" s="126">
        <f>ROUND(('3_CAGED'!C33) *'3_CAGED'!C26/'3_CAGED'!C29,4)</f>
        <v>2.5600000000000001E-2</v>
      </c>
      <c r="D27" s="125"/>
      <c r="E27" s="133"/>
    </row>
    <row r="28" spans="1:8" ht="14.25">
      <c r="A28" s="124" t="s">
        <v>202</v>
      </c>
      <c r="B28" s="124" t="s">
        <v>203</v>
      </c>
      <c r="C28" s="126">
        <f>ROUND(IF('3_CAGED'!C28&gt;12,12/'3_CAGED'!C28*0.1111,0.1111),4)</f>
        <v>4.9200000000000001E-2</v>
      </c>
      <c r="D28" s="125"/>
      <c r="H28" s="134"/>
    </row>
    <row r="29" spans="1:8" ht="14.25">
      <c r="A29" s="124" t="s">
        <v>204</v>
      </c>
      <c r="B29" s="124" t="s">
        <v>205</v>
      </c>
      <c r="C29" s="126">
        <f>C27*C28</f>
        <v>1.2595200000000001E-3</v>
      </c>
      <c r="D29" s="125"/>
      <c r="E29" s="133"/>
    </row>
    <row r="30" spans="1:8" ht="14.25">
      <c r="A30" s="124" t="s">
        <v>206</v>
      </c>
      <c r="B30" s="124" t="s">
        <v>207</v>
      </c>
      <c r="C30" s="126">
        <f>ROUND(('3_CAGED'!C29+'3_CAGED'!C30+'3_CAGED'!C32)/'3_CAGED'!C27*'3_CAGED'!C34*'3_CAGED'!C35*'3_CAGED'!C26/'3_CAGED'!C29,4)</f>
        <v>2.0500000000000001E-2</v>
      </c>
      <c r="D30" s="125"/>
      <c r="G30" s="133"/>
    </row>
    <row r="31" spans="1:8" ht="14.25">
      <c r="A31" s="124" t="s">
        <v>208</v>
      </c>
      <c r="B31" s="124" t="s">
        <v>209</v>
      </c>
      <c r="C31" s="126">
        <f>ROUND(('3_CAGED'!C31/'3_CAGED'!C29)*'3_CAGED'!C26/12,4)</f>
        <v>1.8E-3</v>
      </c>
      <c r="D31" s="125"/>
    </row>
    <row r="32" spans="1:8" ht="15">
      <c r="A32" s="124" t="s">
        <v>210</v>
      </c>
      <c r="B32" s="127" t="s">
        <v>211</v>
      </c>
      <c r="C32" s="128">
        <f>SUM(C27:C31)</f>
        <v>9.8359520000000006E-2</v>
      </c>
      <c r="D32" s="132"/>
    </row>
    <row r="33" spans="1:5" ht="15">
      <c r="A33" s="129"/>
      <c r="B33" s="130"/>
      <c r="C33" s="131"/>
      <c r="D33" s="132"/>
    </row>
    <row r="34" spans="1:5" ht="14.25">
      <c r="A34" s="124" t="s">
        <v>212</v>
      </c>
      <c r="B34" s="124" t="s">
        <v>213</v>
      </c>
      <c r="C34" s="126">
        <f>ROUND(C17*C25,4)</f>
        <v>6.3899999999999998E-2</v>
      </c>
      <c r="D34" s="125"/>
    </row>
    <row r="35" spans="1:5" ht="28.5">
      <c r="A35" s="124" t="s">
        <v>214</v>
      </c>
      <c r="B35" s="135" t="s">
        <v>215</v>
      </c>
      <c r="C35" s="126">
        <f>ROUND((C27*C16),4)</f>
        <v>2E-3</v>
      </c>
      <c r="D35" s="125"/>
    </row>
    <row r="36" spans="1:5" ht="15">
      <c r="A36" s="124" t="s">
        <v>216</v>
      </c>
      <c r="B36" s="127" t="s">
        <v>217</v>
      </c>
      <c r="C36" s="128">
        <f>SUM(C34:C35)</f>
        <v>6.59E-2</v>
      </c>
      <c r="D36" s="132"/>
    </row>
    <row r="37" spans="1:5" ht="15">
      <c r="A37" s="136"/>
      <c r="B37" s="137" t="s">
        <v>218</v>
      </c>
      <c r="C37" s="138">
        <f>C36+C32+C25+C17</f>
        <v>0.70595951999999995</v>
      </c>
      <c r="D37" s="132">
        <f>SUM(D35:D36,D9,D11,D13,D15,D17,D19,D21,D23,D25,D27,D29,D31,D33)+0.01</f>
        <v>0.01</v>
      </c>
      <c r="E37" s="133">
        <f>SUM(E9,E11,E13,E15,E17,E19,E21,E23,E25,E27,E29,E31,E33,E35)+0.01</f>
        <v>0.01</v>
      </c>
    </row>
    <row r="38" spans="1:5" ht="15">
      <c r="A38" s="125"/>
      <c r="B38" s="139"/>
      <c r="C38" s="140"/>
      <c r="D38" s="141"/>
    </row>
    <row r="39" spans="1:5" ht="14.25">
      <c r="A39" s="125"/>
      <c r="B39" s="125"/>
      <c r="C39" s="142"/>
      <c r="D39" s="143"/>
    </row>
    <row r="40" spans="1:5" ht="14.25">
      <c r="A40" s="125"/>
      <c r="B40" s="125"/>
      <c r="C40" s="142"/>
      <c r="D40" s="125"/>
    </row>
    <row r="41" spans="1:5" ht="14.25">
      <c r="A41" s="125"/>
      <c r="B41" s="125"/>
      <c r="C41" s="142"/>
      <c r="D41" s="125"/>
    </row>
    <row r="42" spans="1:5" ht="14.25">
      <c r="A42" s="125"/>
      <c r="B42" s="125"/>
      <c r="C42" s="142"/>
      <c r="D42" s="125"/>
    </row>
    <row r="43" spans="1:5" ht="15">
      <c r="A43" s="125"/>
      <c r="B43" s="139"/>
      <c r="C43" s="140"/>
      <c r="D43" s="125"/>
    </row>
    <row r="44" spans="1:5" ht="15">
      <c r="A44" s="132"/>
      <c r="B44" s="139"/>
      <c r="C44" s="140"/>
      <c r="D44" s="132"/>
    </row>
    <row r="45" spans="1:5" ht="16.5">
      <c r="A45" s="144"/>
    </row>
    <row r="46" spans="1:5">
      <c r="A46" s="145"/>
    </row>
    <row r="47" spans="1:5" ht="14.25">
      <c r="A47" s="125"/>
      <c r="B47" s="146"/>
    </row>
    <row r="48" spans="1:5" ht="14.25">
      <c r="A48" s="125"/>
      <c r="B48" s="146"/>
      <c r="C48" s="125"/>
    </row>
    <row r="49" spans="1:3" ht="14.25">
      <c r="A49" s="125"/>
      <c r="B49" s="142"/>
    </row>
    <row r="50" spans="1:3" ht="14.25">
      <c r="A50" s="125"/>
      <c r="B50" s="146"/>
      <c r="C50" s="125"/>
    </row>
    <row r="51" spans="1:3" ht="14.25">
      <c r="A51" s="125"/>
      <c r="B51" s="142"/>
    </row>
    <row r="52" spans="1:3" ht="14.25">
      <c r="A52" s="125"/>
      <c r="B52" s="146"/>
      <c r="C52" s="125"/>
    </row>
    <row r="53" spans="1:3" ht="14.25">
      <c r="A53" s="125"/>
      <c r="B53" s="142"/>
    </row>
    <row r="54" spans="1:3" ht="14.25">
      <c r="A54" s="125"/>
      <c r="B54" s="146"/>
      <c r="C54" s="125"/>
    </row>
    <row r="55" spans="1:3" ht="14.25">
      <c r="A55" s="125"/>
      <c r="B55" s="142"/>
    </row>
    <row r="56" spans="1:3" ht="16.5">
      <c r="A56" s="144"/>
    </row>
    <row r="59" spans="1:3">
      <c r="A59" s="89"/>
    </row>
  </sheetData>
  <mergeCells count="2">
    <mergeCell ref="A1:C6"/>
    <mergeCell ref="A7:C7"/>
  </mergeCells>
  <pageMargins left="0.90551181102362199" right="0.511811023622047" top="1.1417322834645671" bottom="1.1417322834645671" header="0.74803149606299213" footer="0.74803149606299213"/>
  <pageSetup paperSize="9" scale="78" fitToHeight="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L37"/>
  <sheetViews>
    <sheetView view="pageBreakPreview" topLeftCell="A4" zoomScaleNormal="100" zoomScaleSheetLayoutView="100" workbookViewId="0">
      <selection activeCell="D41" sqref="D41"/>
    </sheetView>
  </sheetViews>
  <sheetFormatPr defaultRowHeight="12.75"/>
  <cols>
    <col min="1" max="1" width="8.7109375" style="85" customWidth="1"/>
    <col min="2" max="2" width="69" style="85" customWidth="1"/>
    <col min="3" max="3" width="14" style="85" customWidth="1"/>
    <col min="4" max="4" width="10.5703125" style="85" customWidth="1"/>
    <col min="5" max="5" width="14" style="85" customWidth="1"/>
    <col min="6" max="64" width="9.42578125" style="85" customWidth="1"/>
    <col min="65" max="65" width="8.85546875" customWidth="1"/>
  </cols>
  <sheetData>
    <row r="1" spans="1:3">
      <c r="A1" s="333"/>
      <c r="B1" s="333"/>
      <c r="C1" s="333"/>
    </row>
    <row r="2" spans="1:3">
      <c r="A2" s="333"/>
      <c r="B2" s="333"/>
      <c r="C2" s="333"/>
    </row>
    <row r="3" spans="1:3">
      <c r="A3" s="333"/>
      <c r="B3" s="333"/>
      <c r="C3" s="333"/>
    </row>
    <row r="4" spans="1:3">
      <c r="A4" s="333"/>
      <c r="B4" s="333"/>
      <c r="C4" s="333"/>
    </row>
    <row r="5" spans="1:3">
      <c r="A5" s="333"/>
      <c r="B5" s="333"/>
      <c r="C5" s="333"/>
    </row>
    <row r="6" spans="1:3">
      <c r="A6" s="333"/>
      <c r="B6" s="333"/>
      <c r="C6" s="333"/>
    </row>
    <row r="7" spans="1:3" ht="18">
      <c r="B7" s="335" t="s">
        <v>219</v>
      </c>
      <c r="C7" s="335"/>
    </row>
    <row r="8" spans="1:3" ht="15">
      <c r="B8" s="147" t="s">
        <v>220</v>
      </c>
      <c r="C8" s="148"/>
    </row>
    <row r="9" spans="1:3" ht="15">
      <c r="B9" s="149" t="s">
        <v>221</v>
      </c>
      <c r="C9" s="150">
        <v>2100</v>
      </c>
    </row>
    <row r="10" spans="1:3" ht="15">
      <c r="B10" s="151" t="s">
        <v>222</v>
      </c>
      <c r="C10" s="150">
        <v>2031</v>
      </c>
    </row>
    <row r="11" spans="1:3" ht="14.25">
      <c r="B11" s="152" t="s">
        <v>223</v>
      </c>
      <c r="C11" s="153">
        <v>44</v>
      </c>
    </row>
    <row r="12" spans="1:3" ht="14.25">
      <c r="B12" s="152" t="s">
        <v>224</v>
      </c>
      <c r="C12" s="153">
        <v>1192</v>
      </c>
    </row>
    <row r="13" spans="1:3" ht="14.25">
      <c r="B13" s="152" t="s">
        <v>225</v>
      </c>
      <c r="C13" s="153">
        <v>372</v>
      </c>
    </row>
    <row r="14" spans="1:3" ht="14.25">
      <c r="B14" s="152" t="s">
        <v>226</v>
      </c>
      <c r="C14" s="153">
        <v>22</v>
      </c>
    </row>
    <row r="15" spans="1:3" ht="14.25">
      <c r="B15" s="152" t="s">
        <v>227</v>
      </c>
      <c r="C15" s="153">
        <v>350</v>
      </c>
    </row>
    <row r="16" spans="1:3" ht="14.25">
      <c r="B16" s="152" t="s">
        <v>228</v>
      </c>
      <c r="C16" s="153">
        <v>1</v>
      </c>
    </row>
    <row r="17" spans="1:64" ht="14.25">
      <c r="B17" s="152" t="s">
        <v>229</v>
      </c>
      <c r="C17" s="153">
        <v>30</v>
      </c>
    </row>
    <row r="18" spans="1:64" ht="14.25">
      <c r="B18" s="154" t="s">
        <v>230</v>
      </c>
      <c r="C18" s="155">
        <v>0</v>
      </c>
    </row>
    <row r="19" spans="1:64" ht="14.25">
      <c r="B19" s="156" t="s">
        <v>231</v>
      </c>
      <c r="C19" s="155">
        <v>0</v>
      </c>
    </row>
    <row r="20" spans="1:64" ht="15">
      <c r="A20" s="85" t="s">
        <v>232</v>
      </c>
      <c r="B20" s="147" t="s">
        <v>233</v>
      </c>
      <c r="C20" s="148"/>
    </row>
    <row r="21" spans="1:64" ht="14.25">
      <c r="B21" s="157" t="s">
        <v>234</v>
      </c>
      <c r="C21" s="158">
        <v>4625</v>
      </c>
    </row>
    <row r="22" spans="1:64" ht="14.25">
      <c r="B22" s="152" t="s">
        <v>235</v>
      </c>
      <c r="C22" s="153">
        <v>4694</v>
      </c>
    </row>
    <row r="23" spans="1:64" ht="14.25">
      <c r="B23" s="152" t="s">
        <v>236</v>
      </c>
      <c r="C23" s="152">
        <f>C9-C10</f>
        <v>69</v>
      </c>
    </row>
    <row r="24" spans="1:64" ht="14.25">
      <c r="B24" s="159"/>
      <c r="C24" s="160"/>
    </row>
    <row r="25" spans="1:64" ht="15">
      <c r="A25" s="161"/>
      <c r="B25" s="149" t="s">
        <v>237</v>
      </c>
      <c r="C25" s="149">
        <f>MEDIAN(C21,C22)</f>
        <v>4659.5</v>
      </c>
      <c r="D25" s="161"/>
      <c r="E25" s="161"/>
      <c r="F25" s="161"/>
      <c r="G25" s="161"/>
      <c r="H25" s="161"/>
      <c r="I25" s="161"/>
      <c r="J25" s="161"/>
      <c r="K25" s="161"/>
      <c r="L25" s="161"/>
      <c r="M25" s="161"/>
      <c r="N25" s="161"/>
      <c r="O25" s="161"/>
      <c r="P25" s="161"/>
      <c r="Q25" s="161"/>
      <c r="R25" s="161"/>
      <c r="S25" s="161"/>
      <c r="T25" s="161"/>
      <c r="U25" s="161"/>
      <c r="V25" s="161"/>
      <c r="W25" s="161"/>
      <c r="X25" s="161"/>
      <c r="Y25" s="161"/>
      <c r="Z25" s="161"/>
      <c r="AA25" s="161"/>
      <c r="AB25" s="161"/>
      <c r="AC25" s="161"/>
      <c r="AD25" s="161"/>
      <c r="AE25" s="161"/>
      <c r="AF25" s="161"/>
      <c r="AG25" s="161"/>
      <c r="AH25" s="161"/>
      <c r="AI25" s="161"/>
      <c r="AJ25" s="161"/>
      <c r="AK25" s="161"/>
      <c r="AL25" s="161"/>
      <c r="AM25" s="161"/>
      <c r="AN25" s="161"/>
      <c r="AO25" s="161"/>
      <c r="AP25" s="161"/>
      <c r="AQ25" s="161"/>
      <c r="AR25" s="161"/>
      <c r="AS25" s="161"/>
      <c r="AT25" s="161"/>
      <c r="AU25" s="161"/>
      <c r="AV25" s="161"/>
      <c r="AW25" s="161"/>
      <c r="AX25" s="161"/>
      <c r="AY25" s="161"/>
      <c r="AZ25" s="161"/>
      <c r="BA25" s="161"/>
      <c r="BB25" s="161"/>
      <c r="BC25" s="161"/>
      <c r="BD25" s="161"/>
      <c r="BE25" s="161"/>
      <c r="BF25" s="161"/>
      <c r="BG25" s="161"/>
      <c r="BH25" s="161"/>
      <c r="BI25" s="161"/>
      <c r="BJ25" s="161"/>
      <c r="BK25" s="161"/>
      <c r="BL25" s="161"/>
    </row>
    <row r="26" spans="1:64" ht="15">
      <c r="B26" s="151" t="s">
        <v>238</v>
      </c>
      <c r="C26" s="162">
        <f>C12/C25</f>
        <v>0.25582144006867691</v>
      </c>
    </row>
    <row r="27" spans="1:64" ht="15">
      <c r="B27" s="151" t="s">
        <v>239</v>
      </c>
      <c r="C27" s="162">
        <f>MEDIAN(C9,C10)/C25</f>
        <v>0.44328790642772831</v>
      </c>
    </row>
    <row r="28" spans="1:64" ht="15">
      <c r="A28" s="161"/>
      <c r="B28" s="151" t="s">
        <v>240</v>
      </c>
      <c r="C28" s="163">
        <f>12/C27</f>
        <v>27.070442992011618</v>
      </c>
      <c r="D28" s="161"/>
      <c r="E28" s="161"/>
      <c r="F28" s="161"/>
      <c r="G28" s="161"/>
      <c r="H28" s="161"/>
      <c r="I28" s="161"/>
      <c r="J28" s="161"/>
      <c r="K28" s="161"/>
      <c r="L28" s="161"/>
      <c r="M28" s="161"/>
      <c r="N28" s="161"/>
      <c r="O28" s="161"/>
      <c r="P28" s="161"/>
      <c r="Q28" s="161"/>
      <c r="R28" s="161"/>
      <c r="S28" s="161"/>
      <c r="T28" s="161"/>
      <c r="U28" s="161"/>
      <c r="V28" s="161"/>
      <c r="W28" s="161"/>
      <c r="X28" s="161"/>
      <c r="Y28" s="161"/>
      <c r="Z28" s="161"/>
      <c r="AA28" s="161"/>
      <c r="AB28" s="161"/>
      <c r="AC28" s="161"/>
      <c r="AD28" s="161"/>
      <c r="AE28" s="161"/>
      <c r="AF28" s="161"/>
      <c r="AG28" s="161"/>
      <c r="AH28" s="161"/>
      <c r="AI28" s="161"/>
      <c r="AJ28" s="161"/>
      <c r="AK28" s="161"/>
      <c r="AL28" s="161"/>
      <c r="AM28" s="161"/>
      <c r="AN28" s="161"/>
      <c r="AO28" s="161"/>
      <c r="AP28" s="161"/>
      <c r="AQ28" s="161"/>
      <c r="AR28" s="161"/>
      <c r="AS28" s="161"/>
      <c r="AT28" s="161"/>
      <c r="AU28" s="161"/>
      <c r="AV28" s="161"/>
      <c r="AW28" s="161"/>
      <c r="AX28" s="161"/>
      <c r="AY28" s="161"/>
      <c r="AZ28" s="161"/>
      <c r="BA28" s="161"/>
      <c r="BB28" s="161"/>
      <c r="BC28" s="161"/>
      <c r="BD28" s="161"/>
      <c r="BE28" s="161"/>
      <c r="BF28" s="161"/>
      <c r="BG28" s="161"/>
      <c r="BH28" s="161"/>
      <c r="BI28" s="161"/>
      <c r="BJ28" s="161"/>
      <c r="BK28" s="161"/>
      <c r="BL28" s="161"/>
    </row>
    <row r="29" spans="1:64" ht="15">
      <c r="B29" s="151" t="s">
        <v>241</v>
      </c>
      <c r="C29" s="151">
        <v>360</v>
      </c>
    </row>
    <row r="30" spans="1:64" ht="15">
      <c r="B30" s="151" t="s">
        <v>242</v>
      </c>
      <c r="C30" s="151">
        <v>10</v>
      </c>
    </row>
    <row r="31" spans="1:64" ht="15">
      <c r="B31" s="149" t="s">
        <v>243</v>
      </c>
      <c r="C31" s="149">
        <v>30</v>
      </c>
    </row>
    <row r="32" spans="1:64" ht="15">
      <c r="B32" s="149" t="s">
        <v>244</v>
      </c>
      <c r="C32" s="149">
        <v>30</v>
      </c>
    </row>
    <row r="33" spans="1:64" ht="15">
      <c r="A33" s="161"/>
      <c r="B33" s="149" t="s">
        <v>245</v>
      </c>
      <c r="C33" s="149">
        <f>30+(3*TRUNC(1/C27))</f>
        <v>36</v>
      </c>
      <c r="D33" s="161"/>
      <c r="E33" s="161"/>
      <c r="F33" s="161"/>
      <c r="G33" s="161"/>
      <c r="H33" s="161"/>
      <c r="I33" s="161"/>
      <c r="J33" s="161"/>
      <c r="K33" s="161"/>
      <c r="L33" s="161"/>
      <c r="M33" s="161"/>
      <c r="N33" s="161"/>
      <c r="O33" s="161"/>
      <c r="P33" s="161"/>
      <c r="Q33" s="161"/>
      <c r="R33" s="161"/>
      <c r="S33" s="161"/>
      <c r="T33" s="161"/>
      <c r="U33" s="161"/>
      <c r="V33" s="161"/>
      <c r="W33" s="161"/>
      <c r="X33" s="161"/>
      <c r="Y33" s="161"/>
      <c r="Z33" s="161"/>
      <c r="AA33" s="161"/>
      <c r="AB33" s="161"/>
      <c r="AC33" s="161"/>
      <c r="AD33" s="161"/>
      <c r="AE33" s="161"/>
      <c r="AF33" s="161"/>
      <c r="AG33" s="161"/>
      <c r="AH33" s="161"/>
      <c r="AI33" s="161"/>
      <c r="AJ33" s="161"/>
      <c r="AK33" s="161"/>
      <c r="AL33" s="161"/>
      <c r="AM33" s="161"/>
      <c r="AN33" s="161"/>
      <c r="AO33" s="161"/>
      <c r="AP33" s="161"/>
      <c r="AQ33" s="161"/>
      <c r="AR33" s="161"/>
      <c r="AS33" s="161"/>
      <c r="AT33" s="161"/>
      <c r="AU33" s="161"/>
      <c r="AV33" s="161"/>
      <c r="AW33" s="161"/>
      <c r="AX33" s="161"/>
      <c r="AY33" s="161"/>
      <c r="AZ33" s="161"/>
      <c r="BA33" s="161"/>
      <c r="BB33" s="161"/>
      <c r="BC33" s="161"/>
      <c r="BD33" s="161"/>
      <c r="BE33" s="161"/>
      <c r="BF33" s="161"/>
      <c r="BG33" s="161"/>
      <c r="BH33" s="161"/>
      <c r="BI33" s="161"/>
      <c r="BJ33" s="161"/>
      <c r="BK33" s="161"/>
      <c r="BL33" s="161"/>
    </row>
    <row r="34" spans="1:64" ht="15">
      <c r="A34" s="161"/>
      <c r="B34" s="151" t="s">
        <v>183</v>
      </c>
      <c r="C34" s="164">
        <v>0.08</v>
      </c>
      <c r="D34" s="161"/>
      <c r="E34" s="161"/>
      <c r="F34" s="161"/>
      <c r="G34" s="161"/>
      <c r="H34" s="161"/>
      <c r="I34" s="161"/>
      <c r="J34" s="161"/>
      <c r="K34" s="161"/>
      <c r="L34" s="161"/>
      <c r="M34" s="161"/>
      <c r="N34" s="161"/>
      <c r="O34" s="161"/>
      <c r="P34" s="161"/>
      <c r="Q34" s="161"/>
      <c r="R34" s="161"/>
      <c r="S34" s="161"/>
      <c r="T34" s="161"/>
      <c r="U34" s="161"/>
      <c r="V34" s="161"/>
      <c r="W34" s="161"/>
      <c r="X34" s="161"/>
      <c r="Y34" s="161"/>
      <c r="Z34" s="161"/>
      <c r="AA34" s="161"/>
      <c r="AB34" s="161"/>
      <c r="AC34" s="161"/>
      <c r="AD34" s="161"/>
      <c r="AE34" s="161"/>
      <c r="AF34" s="161"/>
      <c r="AG34" s="161"/>
      <c r="AH34" s="161"/>
      <c r="AI34" s="161"/>
      <c r="AJ34" s="161"/>
      <c r="AK34" s="161"/>
      <c r="AL34" s="161"/>
      <c r="AM34" s="161"/>
      <c r="AN34" s="161"/>
      <c r="AO34" s="161"/>
      <c r="AP34" s="161"/>
      <c r="AQ34" s="161"/>
      <c r="AR34" s="161"/>
      <c r="AS34" s="161"/>
      <c r="AT34" s="161"/>
      <c r="AU34" s="161"/>
      <c r="AV34" s="161"/>
      <c r="AW34" s="161"/>
      <c r="AX34" s="161"/>
      <c r="AY34" s="161"/>
      <c r="AZ34" s="161"/>
      <c r="BA34" s="161"/>
      <c r="BB34" s="161"/>
      <c r="BC34" s="161"/>
      <c r="BD34" s="161"/>
      <c r="BE34" s="161"/>
      <c r="BF34" s="161"/>
      <c r="BG34" s="161"/>
      <c r="BH34" s="161"/>
      <c r="BI34" s="161"/>
      <c r="BJ34" s="161"/>
      <c r="BK34" s="161"/>
      <c r="BL34" s="161"/>
    </row>
    <row r="35" spans="1:64" ht="15">
      <c r="A35" s="161"/>
      <c r="B35" s="165" t="s">
        <v>246</v>
      </c>
      <c r="C35" s="166">
        <v>0.4</v>
      </c>
      <c r="D35" s="161" t="s">
        <v>247</v>
      </c>
      <c r="E35" s="161"/>
      <c r="F35" s="161"/>
      <c r="G35" s="161"/>
      <c r="H35" s="161"/>
      <c r="I35" s="161"/>
      <c r="J35" s="161"/>
      <c r="K35" s="161"/>
      <c r="L35" s="161"/>
      <c r="M35" s="161"/>
      <c r="N35" s="161"/>
      <c r="O35" s="161"/>
      <c r="P35" s="161"/>
      <c r="Q35" s="161"/>
      <c r="R35" s="161"/>
      <c r="S35" s="161"/>
      <c r="T35" s="161"/>
      <c r="U35" s="161"/>
      <c r="V35" s="161"/>
      <c r="W35" s="161"/>
      <c r="X35" s="161"/>
      <c r="Y35" s="161"/>
      <c r="Z35" s="161"/>
      <c r="AA35" s="161"/>
      <c r="AB35" s="161"/>
      <c r="AC35" s="161"/>
      <c r="AD35" s="161"/>
      <c r="AE35" s="161"/>
      <c r="AF35" s="161"/>
      <c r="AG35" s="161"/>
      <c r="AH35" s="161"/>
      <c r="AI35" s="161"/>
      <c r="AJ35" s="161"/>
      <c r="AK35" s="161"/>
      <c r="AL35" s="161"/>
      <c r="AM35" s="161"/>
      <c r="AN35" s="161"/>
      <c r="AO35" s="161"/>
      <c r="AP35" s="161"/>
      <c r="AQ35" s="161"/>
      <c r="AR35" s="161"/>
      <c r="AS35" s="161"/>
      <c r="AT35" s="161"/>
      <c r="AU35" s="161"/>
      <c r="AV35" s="161"/>
      <c r="AW35" s="161"/>
      <c r="AX35" s="161"/>
      <c r="AY35" s="161"/>
      <c r="AZ35" s="161"/>
      <c r="BA35" s="161"/>
      <c r="BB35" s="161"/>
      <c r="BC35" s="161"/>
      <c r="BD35" s="161"/>
      <c r="BE35" s="161"/>
      <c r="BF35" s="161"/>
      <c r="BG35" s="161"/>
      <c r="BH35" s="161"/>
      <c r="BI35" s="161"/>
      <c r="BJ35" s="161"/>
      <c r="BK35" s="161"/>
      <c r="BL35" s="161"/>
    </row>
    <row r="37" spans="1:64">
      <c r="D37" s="85">
        <f>SUM(D35:D36,D9,D11,D13,D15,D17,D19,D21,D23,D25,D27,D29,D31,D33)+0.01</f>
        <v>0.01</v>
      </c>
      <c r="E37" s="85">
        <f>SUM(E9,E11,E13,E15,E17,E19,E21,E23,E25,E27,E29,E31,E33,E35)+0.01</f>
        <v>0.01</v>
      </c>
    </row>
  </sheetData>
  <mergeCells count="2">
    <mergeCell ref="A1:C6"/>
    <mergeCell ref="B7:C7"/>
  </mergeCells>
  <pageMargins left="0.90551181102362199" right="0.511811023622047" top="1.1417322834645671" bottom="1.1417322834645671" header="0.74803149606299213" footer="0.74803149606299213"/>
  <pageSetup paperSize="9" scale="95" fitToWidth="0" fitToHeight="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L37"/>
  <sheetViews>
    <sheetView topLeftCell="A3" workbookViewId="0">
      <selection activeCell="D41" sqref="D41"/>
    </sheetView>
  </sheetViews>
  <sheetFormatPr defaultRowHeight="12.75"/>
  <cols>
    <col min="1" max="1" width="43" customWidth="1"/>
    <col min="2" max="2" width="5.7109375" customWidth="1"/>
    <col min="3" max="3" width="8.85546875" customWidth="1"/>
    <col min="4" max="4" width="10" customWidth="1"/>
    <col min="5" max="5" width="7.7109375" style="192" customWidth="1"/>
    <col min="6" max="6" width="10" customWidth="1"/>
    <col min="7" max="7" width="8.85546875" customWidth="1"/>
  </cols>
  <sheetData>
    <row r="1" spans="1:64" ht="14.25">
      <c r="A1" s="333"/>
      <c r="B1" s="333"/>
      <c r="C1" s="333"/>
      <c r="D1" s="333"/>
      <c r="E1" s="333"/>
      <c r="F1" s="333"/>
      <c r="G1" s="167"/>
      <c r="H1" s="167"/>
      <c r="I1" s="167"/>
      <c r="J1" s="167"/>
      <c r="K1" s="167"/>
      <c r="L1" s="167"/>
      <c r="M1" s="167"/>
      <c r="N1" s="167"/>
      <c r="O1" s="167"/>
      <c r="P1" s="167"/>
      <c r="Q1" s="167"/>
      <c r="R1" s="167"/>
      <c r="S1" s="167"/>
      <c r="T1" s="167"/>
      <c r="U1" s="167"/>
      <c r="V1" s="167"/>
      <c r="W1" s="167"/>
      <c r="X1" s="167"/>
      <c r="Y1" s="167"/>
      <c r="Z1" s="167"/>
      <c r="AA1" s="167"/>
      <c r="AB1" s="167"/>
      <c r="AC1" s="167"/>
      <c r="AD1" s="167"/>
      <c r="AE1" s="167"/>
      <c r="AF1" s="167"/>
      <c r="AG1" s="167"/>
      <c r="AH1" s="167"/>
      <c r="AI1" s="167"/>
      <c r="AJ1" s="167"/>
      <c r="AK1" s="167"/>
      <c r="AL1" s="167"/>
      <c r="AM1" s="167"/>
      <c r="AN1" s="167"/>
      <c r="AO1" s="167"/>
      <c r="AP1" s="167"/>
      <c r="AQ1" s="167"/>
      <c r="AR1" s="167"/>
      <c r="AS1" s="167"/>
      <c r="AT1" s="167"/>
      <c r="AU1" s="167"/>
      <c r="AV1" s="167"/>
      <c r="AW1" s="167"/>
      <c r="AX1" s="167"/>
      <c r="AY1" s="167"/>
      <c r="AZ1" s="167"/>
      <c r="BA1" s="167"/>
      <c r="BB1" s="167"/>
      <c r="BC1" s="167"/>
      <c r="BD1" s="167"/>
      <c r="BE1" s="167"/>
      <c r="BF1" s="167"/>
      <c r="BG1" s="167"/>
      <c r="BH1" s="167"/>
      <c r="BI1" s="167"/>
      <c r="BJ1" s="167"/>
      <c r="BK1" s="167"/>
      <c r="BL1" s="167"/>
    </row>
    <row r="2" spans="1:64" ht="14.25">
      <c r="A2" s="333"/>
      <c r="B2" s="333"/>
      <c r="C2" s="333"/>
      <c r="D2" s="333"/>
      <c r="E2" s="333"/>
      <c r="F2" s="333"/>
      <c r="G2" s="167"/>
      <c r="H2" s="167"/>
      <c r="I2" s="167"/>
      <c r="J2" s="167"/>
      <c r="K2" s="167"/>
      <c r="L2" s="167"/>
      <c r="M2" s="167"/>
      <c r="N2" s="167"/>
      <c r="O2" s="167"/>
      <c r="P2" s="167"/>
      <c r="Q2" s="167"/>
      <c r="R2" s="167"/>
      <c r="S2" s="167"/>
      <c r="T2" s="167"/>
      <c r="U2" s="167"/>
      <c r="V2" s="167"/>
      <c r="W2" s="167"/>
      <c r="X2" s="167"/>
      <c r="Y2" s="167"/>
      <c r="Z2" s="167"/>
      <c r="AA2" s="167"/>
      <c r="AB2" s="167"/>
      <c r="AC2" s="167"/>
      <c r="AD2" s="167"/>
      <c r="AE2" s="167"/>
      <c r="AF2" s="167"/>
      <c r="AG2" s="167"/>
      <c r="AH2" s="167"/>
      <c r="AI2" s="167"/>
      <c r="AJ2" s="167"/>
      <c r="AK2" s="167"/>
      <c r="AL2" s="167"/>
      <c r="AM2" s="167"/>
      <c r="AN2" s="167"/>
      <c r="AO2" s="167"/>
      <c r="AP2" s="167"/>
      <c r="AQ2" s="167"/>
      <c r="AR2" s="167"/>
      <c r="AS2" s="167"/>
      <c r="AT2" s="167"/>
      <c r="AU2" s="167"/>
      <c r="AV2" s="167"/>
      <c r="AW2" s="167"/>
      <c r="AX2" s="167"/>
      <c r="AY2" s="167"/>
      <c r="AZ2" s="167"/>
      <c r="BA2" s="167"/>
      <c r="BB2" s="167"/>
      <c r="BC2" s="167"/>
      <c r="BD2" s="167"/>
      <c r="BE2" s="167"/>
      <c r="BF2" s="167"/>
      <c r="BG2" s="167"/>
      <c r="BH2" s="167"/>
      <c r="BI2" s="167"/>
      <c r="BJ2" s="167"/>
      <c r="BK2" s="167"/>
      <c r="BL2" s="167"/>
    </row>
    <row r="3" spans="1:64" ht="14.25">
      <c r="A3" s="333"/>
      <c r="B3" s="333"/>
      <c r="C3" s="333"/>
      <c r="D3" s="333"/>
      <c r="E3" s="333"/>
      <c r="F3" s="333"/>
      <c r="G3" s="167"/>
      <c r="H3" s="167"/>
      <c r="I3" s="167"/>
      <c r="J3" s="167"/>
      <c r="K3" s="167"/>
      <c r="L3" s="167"/>
      <c r="M3" s="167"/>
      <c r="N3" s="167"/>
      <c r="O3" s="167"/>
      <c r="P3" s="167"/>
      <c r="Q3" s="167"/>
      <c r="R3" s="167"/>
      <c r="S3" s="167"/>
      <c r="T3" s="167"/>
      <c r="U3" s="167"/>
      <c r="V3" s="167"/>
      <c r="W3" s="167"/>
      <c r="X3" s="167"/>
      <c r="Y3" s="167"/>
      <c r="Z3" s="167"/>
      <c r="AA3" s="167"/>
      <c r="AB3" s="167"/>
      <c r="AC3" s="167"/>
      <c r="AD3" s="167"/>
      <c r="AE3" s="167"/>
      <c r="AF3" s="167"/>
      <c r="AG3" s="167"/>
      <c r="AH3" s="167"/>
      <c r="AI3" s="167"/>
      <c r="AJ3" s="167"/>
      <c r="AK3" s="167"/>
      <c r="AL3" s="167"/>
      <c r="AM3" s="167"/>
      <c r="AN3" s="167"/>
      <c r="AO3" s="167"/>
      <c r="AP3" s="167"/>
      <c r="AQ3" s="167"/>
      <c r="AR3" s="167"/>
      <c r="AS3" s="167"/>
      <c r="AT3" s="167"/>
      <c r="AU3" s="167"/>
      <c r="AV3" s="167"/>
      <c r="AW3" s="167"/>
      <c r="AX3" s="167"/>
      <c r="AY3" s="167"/>
      <c r="AZ3" s="167"/>
      <c r="BA3" s="167"/>
      <c r="BB3" s="167"/>
      <c r="BC3" s="167"/>
      <c r="BD3" s="167"/>
      <c r="BE3" s="167"/>
      <c r="BF3" s="167"/>
      <c r="BG3" s="167"/>
      <c r="BH3" s="167"/>
      <c r="BI3" s="167"/>
      <c r="BJ3" s="167"/>
      <c r="BK3" s="167"/>
      <c r="BL3" s="167"/>
    </row>
    <row r="4" spans="1:64" ht="14.25">
      <c r="A4" s="333"/>
      <c r="B4" s="333"/>
      <c r="C4" s="333"/>
      <c r="D4" s="333"/>
      <c r="E4" s="333"/>
      <c r="F4" s="333"/>
      <c r="G4" s="167"/>
      <c r="H4" s="167"/>
      <c r="I4" s="167"/>
      <c r="J4" s="167"/>
      <c r="K4" s="167"/>
      <c r="L4" s="167"/>
      <c r="M4" s="167"/>
      <c r="N4" s="167"/>
      <c r="O4" s="167"/>
      <c r="P4" s="167"/>
      <c r="Q4" s="167"/>
      <c r="R4" s="167"/>
      <c r="S4" s="167"/>
      <c r="T4" s="167"/>
      <c r="U4" s="167"/>
      <c r="V4" s="167"/>
      <c r="W4" s="167"/>
      <c r="X4" s="167"/>
      <c r="Y4" s="167"/>
      <c r="Z4" s="167"/>
      <c r="AA4" s="167"/>
      <c r="AB4" s="167"/>
      <c r="AC4" s="167"/>
      <c r="AD4" s="167"/>
      <c r="AE4" s="167"/>
      <c r="AF4" s="167"/>
      <c r="AG4" s="167"/>
      <c r="AH4" s="167"/>
      <c r="AI4" s="167"/>
      <c r="AJ4" s="167"/>
      <c r="AK4" s="167"/>
      <c r="AL4" s="167"/>
      <c r="AM4" s="167"/>
      <c r="AN4" s="167"/>
      <c r="AO4" s="167"/>
      <c r="AP4" s="167"/>
      <c r="AQ4" s="167"/>
      <c r="AR4" s="167"/>
      <c r="AS4" s="167"/>
      <c r="AT4" s="167"/>
      <c r="AU4" s="167"/>
      <c r="AV4" s="167"/>
      <c r="AW4" s="167"/>
      <c r="AX4" s="167"/>
      <c r="AY4" s="167"/>
      <c r="AZ4" s="167"/>
      <c r="BA4" s="167"/>
      <c r="BB4" s="167"/>
      <c r="BC4" s="167"/>
      <c r="BD4" s="167"/>
      <c r="BE4" s="167"/>
      <c r="BF4" s="167"/>
      <c r="BG4" s="167"/>
      <c r="BH4" s="167"/>
      <c r="BI4" s="167"/>
      <c r="BJ4" s="167"/>
      <c r="BK4" s="167"/>
      <c r="BL4" s="167"/>
    </row>
    <row r="5" spans="1:64" ht="15.6" customHeight="1">
      <c r="A5" s="333"/>
      <c r="B5" s="333"/>
      <c r="C5" s="333"/>
      <c r="D5" s="333"/>
      <c r="E5" s="333"/>
      <c r="F5" s="333"/>
      <c r="G5" s="4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</row>
    <row r="6" spans="1:64" ht="16.5" customHeight="1">
      <c r="A6" s="333"/>
      <c r="B6" s="333"/>
      <c r="C6" s="333"/>
      <c r="D6" s="333"/>
      <c r="E6" s="333"/>
      <c r="F6" s="333"/>
      <c r="G6" s="4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</row>
    <row r="7" spans="1:64" ht="14.25">
      <c r="A7" s="333"/>
      <c r="B7" s="333"/>
      <c r="C7" s="333"/>
      <c r="D7" s="333"/>
      <c r="E7" s="333"/>
      <c r="F7" s="333"/>
      <c r="G7" s="167"/>
      <c r="H7" s="167"/>
      <c r="I7" s="167"/>
      <c r="J7" s="167"/>
      <c r="K7" s="167"/>
      <c r="L7" s="167"/>
      <c r="M7" s="167"/>
      <c r="N7" s="167"/>
      <c r="O7" s="167"/>
      <c r="P7" s="167"/>
      <c r="Q7" s="167"/>
      <c r="R7" s="167"/>
      <c r="S7" s="167"/>
      <c r="T7" s="167"/>
      <c r="U7" s="167"/>
      <c r="V7" s="167"/>
      <c r="W7" s="167"/>
      <c r="X7" s="167"/>
      <c r="Y7" s="167"/>
      <c r="Z7" s="167"/>
      <c r="AA7" s="167"/>
      <c r="AB7" s="167"/>
      <c r="AC7" s="167"/>
      <c r="AD7" s="167"/>
      <c r="AE7" s="167"/>
      <c r="AF7" s="167"/>
      <c r="AG7" s="167"/>
      <c r="AH7" s="167"/>
      <c r="AI7" s="167"/>
      <c r="AJ7" s="167"/>
      <c r="AK7" s="167"/>
      <c r="AL7" s="167"/>
      <c r="AM7" s="167"/>
      <c r="AN7" s="167"/>
      <c r="AO7" s="167"/>
      <c r="AP7" s="167"/>
      <c r="AQ7" s="167"/>
      <c r="AR7" s="167"/>
      <c r="AS7" s="167"/>
      <c r="AT7" s="167"/>
      <c r="AU7" s="167"/>
      <c r="AV7" s="167"/>
      <c r="AW7" s="167"/>
      <c r="AX7" s="167"/>
      <c r="AY7" s="167"/>
      <c r="AZ7" s="167"/>
      <c r="BA7" s="167"/>
      <c r="BB7" s="167"/>
      <c r="BC7" s="167"/>
      <c r="BD7" s="167"/>
      <c r="BE7" s="167"/>
      <c r="BF7" s="167"/>
      <c r="BG7" s="167"/>
      <c r="BH7" s="167"/>
      <c r="BI7" s="167"/>
      <c r="BJ7" s="167"/>
      <c r="BK7" s="167"/>
      <c r="BL7" s="167"/>
    </row>
    <row r="8" spans="1:64" ht="15.75">
      <c r="A8" s="336" t="s">
        <v>248</v>
      </c>
      <c r="B8" s="336"/>
      <c r="C8" s="336"/>
      <c r="D8" s="336"/>
      <c r="E8" s="336"/>
      <c r="F8" s="336"/>
    </row>
    <row r="9" spans="1:64" ht="15.75">
      <c r="A9" s="168"/>
      <c r="B9" s="1"/>
      <c r="C9" s="1"/>
      <c r="D9" s="1"/>
      <c r="E9" s="1"/>
      <c r="F9" s="169"/>
    </row>
    <row r="10" spans="1:64" ht="15">
      <c r="A10" s="170"/>
      <c r="B10" s="120"/>
      <c r="C10" s="120"/>
      <c r="D10" s="337" t="s">
        <v>249</v>
      </c>
      <c r="E10" s="337"/>
      <c r="F10" s="337"/>
      <c r="G10" s="167"/>
      <c r="H10" s="167"/>
    </row>
    <row r="11" spans="1:64" ht="14.25">
      <c r="A11" s="159"/>
      <c r="B11" s="167"/>
      <c r="C11" s="167"/>
      <c r="D11" s="171" t="s">
        <v>250</v>
      </c>
      <c r="E11" s="172" t="s">
        <v>251</v>
      </c>
      <c r="F11" s="171" t="s">
        <v>252</v>
      </c>
      <c r="G11" s="167"/>
      <c r="H11" s="167"/>
    </row>
    <row r="12" spans="1:64" ht="14.25">
      <c r="A12" s="124" t="s">
        <v>253</v>
      </c>
      <c r="B12" s="173" t="s">
        <v>254</v>
      </c>
      <c r="C12" s="174">
        <v>5.0799999999999998E-2</v>
      </c>
      <c r="D12" s="175">
        <v>2.9700000000000001E-2</v>
      </c>
      <c r="E12" s="175">
        <v>5.0799999999999998E-2</v>
      </c>
      <c r="F12" s="175">
        <v>6.2700000000000006E-2</v>
      </c>
      <c r="G12" s="167"/>
      <c r="H12" s="167"/>
    </row>
    <row r="13" spans="1:64" ht="14.25">
      <c r="A13" s="124" t="s">
        <v>255</v>
      </c>
      <c r="B13" s="173" t="s">
        <v>256</v>
      </c>
      <c r="C13" s="174">
        <v>8.6E-3</v>
      </c>
      <c r="D13" s="175">
        <f>0.3%+0.56%</f>
        <v>8.6E-3</v>
      </c>
      <c r="E13" s="175">
        <f>0.48%+0.85%</f>
        <v>1.3299999999999999E-2</v>
      </c>
      <c r="F13" s="175">
        <f>0.82%+0.89%</f>
        <v>1.7099999999999997E-2</v>
      </c>
      <c r="G13" s="167"/>
      <c r="H13" s="167"/>
    </row>
    <row r="14" spans="1:64" ht="14.25">
      <c r="A14" s="124" t="s">
        <v>257</v>
      </c>
      <c r="B14" s="173" t="s">
        <v>258</v>
      </c>
      <c r="C14" s="174">
        <v>0.1</v>
      </c>
      <c r="D14" s="175">
        <v>7.7799999999999994E-2</v>
      </c>
      <c r="E14" s="175">
        <v>0.1085</v>
      </c>
      <c r="F14" s="175">
        <v>0.13550000000000001</v>
      </c>
      <c r="G14" s="167"/>
      <c r="H14" s="167"/>
    </row>
    <row r="15" spans="1:64" ht="14.25">
      <c r="A15" s="124" t="s">
        <v>259</v>
      </c>
      <c r="B15" s="173" t="s">
        <v>260</v>
      </c>
      <c r="C15" s="176">
        <f>(1+E15)^(E16/252)-1</f>
        <v>4.5384810177484525E-4</v>
      </c>
      <c r="D15" s="175" t="s">
        <v>261</v>
      </c>
      <c r="E15" s="177">
        <v>1.15E-2</v>
      </c>
      <c r="F15" s="178"/>
      <c r="G15" s="167"/>
      <c r="H15" s="167"/>
    </row>
    <row r="16" spans="1:64" ht="14.25">
      <c r="A16" s="124" t="s">
        <v>262</v>
      </c>
      <c r="B16" s="338" t="s">
        <v>263</v>
      </c>
      <c r="C16" s="174">
        <v>0.03</v>
      </c>
      <c r="D16" s="179" t="s">
        <v>264</v>
      </c>
      <c r="E16" s="180">
        <v>10</v>
      </c>
      <c r="F16" s="152"/>
      <c r="G16" s="167"/>
      <c r="H16" s="167"/>
    </row>
    <row r="17" spans="1:8" ht="14.25">
      <c r="A17" s="124" t="s">
        <v>265</v>
      </c>
      <c r="B17" s="338"/>
      <c r="C17" s="174">
        <v>3.6499999999999998E-2</v>
      </c>
      <c r="D17" s="152"/>
      <c r="E17" s="181"/>
      <c r="F17" s="152"/>
      <c r="G17" s="167"/>
      <c r="H17" s="167"/>
    </row>
    <row r="18" spans="1:8" ht="14.25">
      <c r="A18" s="182" t="s">
        <v>266</v>
      </c>
      <c r="B18" s="183"/>
      <c r="C18" s="184"/>
      <c r="D18" s="152"/>
      <c r="E18" s="181"/>
      <c r="F18" s="152"/>
      <c r="G18" s="167"/>
      <c r="H18" s="167"/>
    </row>
    <row r="19" spans="1:8" ht="14.25">
      <c r="A19" s="185" t="s">
        <v>267</v>
      </c>
      <c r="B19" s="186"/>
      <c r="C19" s="187"/>
      <c r="D19" s="152"/>
      <c r="E19" s="181"/>
      <c r="F19" s="152"/>
      <c r="G19" s="167"/>
      <c r="H19" s="167"/>
    </row>
    <row r="20" spans="1:8" ht="15">
      <c r="A20" s="188" t="s">
        <v>268</v>
      </c>
      <c r="B20" s="189"/>
      <c r="C20" s="190">
        <f>ROUND((((1+C12+C13)*(1+C14)*(1+C15))/(1-(C16+C17))-1),4)</f>
        <v>0.24890000000000001</v>
      </c>
      <c r="D20" s="175">
        <v>0.21429999999999999</v>
      </c>
      <c r="E20" s="175">
        <v>0.2717</v>
      </c>
      <c r="F20" s="175">
        <v>0.3362</v>
      </c>
      <c r="G20" s="167"/>
      <c r="H20" s="167"/>
    </row>
    <row r="21" spans="1:8" ht="14.25">
      <c r="A21" s="167"/>
      <c r="B21" s="167"/>
      <c r="C21" s="167"/>
      <c r="D21" s="167"/>
      <c r="E21" s="191"/>
      <c r="F21" s="167"/>
      <c r="G21" s="167"/>
      <c r="H21" s="167"/>
    </row>
    <row r="22" spans="1:8" ht="14.25">
      <c r="A22" s="167"/>
      <c r="B22" s="167"/>
      <c r="C22" s="167"/>
      <c r="D22" s="167"/>
      <c r="E22" s="191"/>
      <c r="F22" s="167"/>
      <c r="G22" s="167"/>
      <c r="H22" s="167"/>
    </row>
    <row r="23" spans="1:8" ht="14.25">
      <c r="A23" s="167"/>
      <c r="B23" s="167"/>
      <c r="C23" s="167"/>
      <c r="D23" s="167"/>
      <c r="E23" s="191"/>
      <c r="F23" s="167"/>
      <c r="G23" s="167"/>
      <c r="H23" s="167"/>
    </row>
    <row r="24" spans="1:8" ht="14.25">
      <c r="A24" s="167"/>
      <c r="B24" s="167"/>
      <c r="C24" s="167"/>
      <c r="D24" s="167"/>
      <c r="E24" s="191"/>
      <c r="F24" s="167"/>
      <c r="G24" s="167"/>
      <c r="H24" s="167"/>
    </row>
    <row r="37" spans="4:5">
      <c r="D37" s="348">
        <f>SUM(D35:D36,D9,D11,D13,D15,D17,D19,D21,D23,D25,D27,D29,D31,D33)+0.01</f>
        <v>1.8599999999999998E-2</v>
      </c>
      <c r="E37" s="350">
        <f>SUM(E9,E11,E13,E15,E17,E19,E21,E23,E25,E27,E29,E31,E33,E35)+0.01</f>
        <v>3.4799999999999998E-2</v>
      </c>
    </row>
  </sheetData>
  <mergeCells count="4">
    <mergeCell ref="A1:F7"/>
    <mergeCell ref="A8:F8"/>
    <mergeCell ref="D10:F10"/>
    <mergeCell ref="B16:B17"/>
  </mergeCells>
  <pageMargins left="0.90551181102362199" right="0.511811023622047" top="1.1417322834645671" bottom="1.1417322834645671" header="0.74803149606299213" footer="0.74803149606299213"/>
  <pageSetup paperSize="9" fitToWidth="0" fitToHeight="0" orientation="portrait" r:id="rId1"/>
  <headerFooter alignWithMargins="0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L37"/>
  <sheetViews>
    <sheetView workbookViewId="0">
      <selection activeCell="D41" sqref="D41"/>
    </sheetView>
  </sheetViews>
  <sheetFormatPr defaultRowHeight="12.75"/>
  <cols>
    <col min="1" max="1" width="25.28515625" style="85" customWidth="1"/>
    <col min="2" max="2" width="21.5703125" style="85" customWidth="1"/>
    <col min="3" max="64" width="9.42578125" style="85" customWidth="1"/>
    <col min="65" max="65" width="8.85546875" customWidth="1"/>
  </cols>
  <sheetData>
    <row r="1" spans="1:64" ht="19.5" customHeight="1">
      <c r="A1" s="339" t="s">
        <v>269</v>
      </c>
      <c r="B1" s="339"/>
    </row>
    <row r="2" spans="1:64" ht="19.5" customHeight="1">
      <c r="A2" s="193" t="s">
        <v>270</v>
      </c>
      <c r="B2" s="194" t="s">
        <v>271</v>
      </c>
      <c r="C2" s="161">
        <f ca="1">('1_1_Coleta_BX_TEMP'!E31)+3.135</f>
        <v>333529.46210518881</v>
      </c>
      <c r="D2" s="161"/>
      <c r="E2" s="161"/>
      <c r="F2" s="161"/>
      <c r="G2" s="161"/>
      <c r="H2" s="161"/>
      <c r="I2" s="161"/>
      <c r="J2" s="161"/>
      <c r="K2" s="161"/>
      <c r="L2" s="161"/>
      <c r="M2" s="161"/>
      <c r="N2" s="161"/>
      <c r="O2" s="161"/>
      <c r="P2" s="161"/>
      <c r="Q2" s="161"/>
      <c r="R2" s="161"/>
      <c r="S2" s="161"/>
      <c r="T2" s="161"/>
      <c r="U2" s="161"/>
      <c r="V2" s="161"/>
      <c r="W2" s="161"/>
      <c r="X2" s="161"/>
      <c r="Y2" s="161"/>
      <c r="Z2" s="161"/>
      <c r="AA2" s="161"/>
      <c r="AB2" s="161"/>
      <c r="AC2" s="161"/>
      <c r="AD2" s="161"/>
      <c r="AE2" s="161"/>
      <c r="AF2" s="161"/>
      <c r="AG2" s="161"/>
      <c r="AH2" s="161"/>
      <c r="AI2" s="161"/>
      <c r="AJ2" s="161"/>
      <c r="AK2" s="161"/>
      <c r="AL2" s="161"/>
      <c r="AM2" s="161"/>
      <c r="AN2" s="161"/>
      <c r="AO2" s="161"/>
      <c r="AP2" s="161"/>
      <c r="AQ2" s="161"/>
      <c r="AR2" s="161"/>
      <c r="AS2" s="161"/>
      <c r="AT2" s="161"/>
      <c r="AU2" s="161"/>
      <c r="AV2" s="161"/>
      <c r="AW2" s="161"/>
      <c r="AX2" s="161"/>
      <c r="AY2" s="161"/>
      <c r="AZ2" s="161"/>
      <c r="BA2" s="161"/>
      <c r="BB2" s="161"/>
      <c r="BC2" s="161"/>
      <c r="BD2" s="161"/>
      <c r="BE2" s="161"/>
      <c r="BF2" s="161"/>
      <c r="BG2" s="161"/>
      <c r="BH2" s="161"/>
      <c r="BI2" s="161"/>
      <c r="BJ2" s="161"/>
      <c r="BK2" s="161"/>
      <c r="BL2" s="161"/>
    </row>
    <row r="3" spans="1:64" ht="19.5" customHeight="1">
      <c r="A3" s="173">
        <v>1</v>
      </c>
      <c r="B3" s="195">
        <v>33.630000000000003</v>
      </c>
    </row>
    <row r="4" spans="1:64" ht="19.5" customHeight="1">
      <c r="A4" s="173">
        <v>2</v>
      </c>
      <c r="B4" s="195">
        <v>43.13</v>
      </c>
      <c r="C4" s="85">
        <f>('1_1_Coleta_ALT_TEMP'!E38)+3.391</f>
        <v>1015535.2301134294</v>
      </c>
    </row>
    <row r="5" spans="1:64" ht="19.5" customHeight="1">
      <c r="A5" s="173">
        <v>3</v>
      </c>
      <c r="B5" s="195">
        <v>48.68</v>
      </c>
    </row>
    <row r="6" spans="1:64" ht="19.5" customHeight="1">
      <c r="A6" s="173">
        <v>4</v>
      </c>
      <c r="B6" s="195">
        <v>52.62</v>
      </c>
      <c r="C6" s="85">
        <f>('1_1_Coleta_SELETIVA'!E29)-0.007</f>
        <v>83585.159029516755</v>
      </c>
    </row>
    <row r="7" spans="1:64" ht="19.5" customHeight="1">
      <c r="A7" s="314">
        <v>5</v>
      </c>
      <c r="B7" s="195">
        <v>55.68</v>
      </c>
    </row>
    <row r="8" spans="1:64" ht="19.5" customHeight="1">
      <c r="A8" s="173">
        <v>6</v>
      </c>
      <c r="B8" s="195">
        <v>58.18</v>
      </c>
    </row>
    <row r="9" spans="1:64" ht="19.5" customHeight="1">
      <c r="A9" s="173">
        <v>7</v>
      </c>
      <c r="B9" s="195">
        <v>60.29</v>
      </c>
    </row>
    <row r="10" spans="1:64" ht="19.5" customHeight="1">
      <c r="A10" s="173">
        <v>8</v>
      </c>
      <c r="B10" s="195">
        <v>62.12</v>
      </c>
    </row>
    <row r="11" spans="1:64" ht="19.5" customHeight="1">
      <c r="A11" s="173">
        <v>9</v>
      </c>
      <c r="B11" s="195">
        <v>63.73</v>
      </c>
    </row>
    <row r="12" spans="1:64" ht="19.5" customHeight="1">
      <c r="A12" s="314">
        <v>10</v>
      </c>
      <c r="B12" s="195">
        <v>65.180000000000007</v>
      </c>
    </row>
    <row r="13" spans="1:64" ht="19.5" customHeight="1">
      <c r="A13" s="173">
        <v>11</v>
      </c>
      <c r="B13" s="195">
        <v>66.48</v>
      </c>
    </row>
    <row r="14" spans="1:64" ht="19.5" customHeight="1">
      <c r="A14" s="173">
        <v>12</v>
      </c>
      <c r="B14" s="195">
        <v>67.67</v>
      </c>
    </row>
    <row r="15" spans="1:64" ht="19.5" customHeight="1">
      <c r="A15" s="173">
        <v>13</v>
      </c>
      <c r="B15" s="195">
        <v>68.77</v>
      </c>
    </row>
    <row r="16" spans="1:64" ht="19.5" customHeight="1">
      <c r="A16" s="173">
        <v>14</v>
      </c>
      <c r="B16" s="195">
        <v>69.790000000000006</v>
      </c>
    </row>
    <row r="17" spans="1:2" ht="19.5" customHeight="1">
      <c r="A17" s="173">
        <v>15</v>
      </c>
      <c r="B17" s="195">
        <v>70.73</v>
      </c>
    </row>
    <row r="37" spans="4:5">
      <c r="D37" s="85">
        <f>SUM(D35:D36,D9,D11,D13,D15,D17,D19,D21,D23,D25,D27,D29,D31,D33)+0.01</f>
        <v>0.01</v>
      </c>
      <c r="E37" s="85">
        <f>SUM(E9,E11,E13,E15,E17,E19,E21,E23,E25,E27,E29,E31,E33,E35)+0.01</f>
        <v>0.01</v>
      </c>
    </row>
  </sheetData>
  <mergeCells count="1">
    <mergeCell ref="A1:B1"/>
  </mergeCells>
  <pageMargins left="0.9055118110236221" right="0.51181102362204722" top="1.1417322834645669" bottom="1.1417322834645669" header="0.74803149606299213" footer="0.74803149606299213"/>
  <pageSetup paperSize="9" fitToHeight="0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L37"/>
  <sheetViews>
    <sheetView workbookViewId="0">
      <selection activeCell="D41" sqref="D41"/>
    </sheetView>
  </sheetViews>
  <sheetFormatPr defaultRowHeight="12.75"/>
  <cols>
    <col min="1" max="1" width="72.42578125" style="85" customWidth="1"/>
    <col min="2" max="3" width="9.42578125" style="85" customWidth="1"/>
    <col min="4" max="4" width="13.28515625" style="85" customWidth="1"/>
    <col min="5" max="64" width="9.42578125" style="85" customWidth="1"/>
    <col min="65" max="65" width="8.85546875" customWidth="1"/>
  </cols>
  <sheetData>
    <row r="1" spans="1:3" ht="18">
      <c r="A1" s="196" t="s">
        <v>272</v>
      </c>
    </row>
    <row r="2" spans="1:3">
      <c r="A2" s="197"/>
      <c r="C2" s="85">
        <f ca="1">('1_1_Coleta_BX_TEMP'!E31)+3.135</f>
        <v>333529.46210518881</v>
      </c>
    </row>
    <row r="3" spans="1:3">
      <c r="A3" s="197" t="s">
        <v>273</v>
      </c>
    </row>
    <row r="4" spans="1:3">
      <c r="A4" s="197"/>
      <c r="C4" s="85">
        <f>('1_1_Coleta_ALT_TEMP'!E38)+3.391</f>
        <v>1015535.2301134294</v>
      </c>
    </row>
    <row r="5" spans="1:3">
      <c r="A5" s="197"/>
    </row>
    <row r="6" spans="1:3">
      <c r="A6" s="197"/>
      <c r="C6" s="85">
        <f>('1_1_Coleta_SELETIVA'!E29)-0.007</f>
        <v>83585.159029516755</v>
      </c>
    </row>
    <row r="7" spans="1:3">
      <c r="A7" s="197"/>
    </row>
    <row r="8" spans="1:3">
      <c r="A8" s="197"/>
    </row>
    <row r="9" spans="1:3">
      <c r="A9" s="197"/>
    </row>
    <row r="10" spans="1:3">
      <c r="A10" s="197"/>
    </row>
    <row r="11" spans="1:3">
      <c r="A11" s="197"/>
    </row>
    <row r="12" spans="1:3" ht="19.5">
      <c r="A12" s="198" t="s">
        <v>274</v>
      </c>
    </row>
    <row r="13" spans="1:3" ht="15">
      <c r="A13" s="198" t="s">
        <v>275</v>
      </c>
    </row>
    <row r="14" spans="1:3" ht="15">
      <c r="A14" s="198" t="s">
        <v>276</v>
      </c>
    </row>
    <row r="15" spans="1:3" ht="19.5">
      <c r="A15" s="198" t="s">
        <v>277</v>
      </c>
    </row>
    <row r="16" spans="1:3" ht="19.5">
      <c r="A16" s="198" t="s">
        <v>278</v>
      </c>
    </row>
    <row r="17" spans="1:1" ht="15">
      <c r="A17" s="199" t="s">
        <v>279</v>
      </c>
    </row>
    <row r="37" spans="4:5">
      <c r="D37" s="85">
        <f>SUM(D35:D36,D9,D11,D13,D15,D17,D19,D21,D23,D25,D27,D29,D31,D33)+0.01</f>
        <v>0.01</v>
      </c>
      <c r="E37" s="85">
        <f>SUM(E9,E11,E13,E15,E17,E19,E21,E23,E25,E27,E29,E31,E33,E35)+0.01</f>
        <v>0.01</v>
      </c>
    </row>
  </sheetData>
  <pageMargins left="0.90551181102362199" right="0.511811023622047" top="1.1417322834645671" bottom="1.1417322834645671" header="0.74803149606299213" footer="0.74803149606299213"/>
  <pageSetup paperSize="9" fitToWidth="0" fitToHeight="0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D9CE76-4834-487F-8E41-229263E7D3EB}">
  <dimension ref="B1:F71"/>
  <sheetViews>
    <sheetView tabSelected="1" topLeftCell="A27" workbookViewId="0">
      <selection activeCell="C48" sqref="C48"/>
    </sheetView>
  </sheetViews>
  <sheetFormatPr defaultRowHeight="12.75"/>
  <cols>
    <col min="2" max="2" width="18.42578125" bestFit="1" customWidth="1"/>
    <col min="3" max="5" width="16" bestFit="1" customWidth="1"/>
    <col min="6" max="6" width="14.28515625" bestFit="1" customWidth="1"/>
    <col min="7" max="7" width="2.85546875" customWidth="1"/>
  </cols>
  <sheetData>
    <row r="1" spans="2:6" ht="13.5" thickBot="1"/>
    <row r="2" spans="2:6" ht="13.5" thickBot="1">
      <c r="B2" s="207" t="s">
        <v>300</v>
      </c>
      <c r="C2" s="220">
        <f ca="1">('1_1_Coleta_BX_TEMP'!E31)+3.135</f>
        <v>333529.46210518881</v>
      </c>
    </row>
    <row r="3" spans="2:6" ht="13.5" thickBot="1">
      <c r="C3" s="219"/>
    </row>
    <row r="4" spans="2:6" ht="13.5" thickBot="1">
      <c r="B4" s="207" t="s">
        <v>301</v>
      </c>
      <c r="C4" s="220">
        <f>('1_1_Coleta_ALT_TEMP'!E38)+3.391</f>
        <v>1015535.2301134294</v>
      </c>
    </row>
    <row r="5" spans="2:6" ht="13.5" thickBot="1">
      <c r="C5" s="219"/>
    </row>
    <row r="6" spans="2:6" ht="13.5" thickBot="1">
      <c r="B6" s="207" t="s">
        <v>302</v>
      </c>
      <c r="C6" s="220">
        <f>('1_1_Coleta_SELETIVA'!E29)-0.007</f>
        <v>83585.159029516755</v>
      </c>
    </row>
    <row r="7" spans="2:6" ht="13.5" thickBot="1">
      <c r="C7" s="204"/>
    </row>
    <row r="8" spans="2:6" ht="13.5" thickBot="1">
      <c r="C8" s="214" t="s">
        <v>303</v>
      </c>
      <c r="D8" s="215" t="s">
        <v>302</v>
      </c>
    </row>
    <row r="9" spans="2:6" ht="13.5" thickBot="1">
      <c r="B9" s="208">
        <v>45931</v>
      </c>
      <c r="C9" s="210">
        <f ca="1">C2</f>
        <v>333529.46210518881</v>
      </c>
      <c r="D9" s="210">
        <f>C6</f>
        <v>83585.159029516755</v>
      </c>
      <c r="E9" s="210">
        <f ca="1">C9+D9</f>
        <v>417114.62113470555</v>
      </c>
    </row>
    <row r="10" spans="2:6" ht="13.5" thickBot="1">
      <c r="B10" s="211"/>
      <c r="D10" s="212"/>
    </row>
    <row r="11" spans="2:6" ht="13.5" thickBot="1">
      <c r="B11" s="208">
        <v>45962</v>
      </c>
      <c r="C11" s="210">
        <f ca="1">C2</f>
        <v>333529.46210518881</v>
      </c>
      <c r="D11" s="210">
        <f>C6</f>
        <v>83585.159029516755</v>
      </c>
      <c r="E11" s="210">
        <f ca="1">C11+D11</f>
        <v>417114.62113470555</v>
      </c>
    </row>
    <row r="12" spans="2:6" ht="13.5" thickBot="1">
      <c r="B12" s="211"/>
      <c r="D12" s="212"/>
    </row>
    <row r="13" spans="2:6" ht="13.5" thickBot="1">
      <c r="B13" s="208" t="s">
        <v>304</v>
      </c>
      <c r="C13" s="210">
        <f ca="1">C2/2</f>
        <v>166764.7310525944</v>
      </c>
      <c r="D13" s="210">
        <f>C6</f>
        <v>83585.159029516755</v>
      </c>
      <c r="E13" s="210">
        <f ca="1">C13+D13</f>
        <v>250349.89008211117</v>
      </c>
    </row>
    <row r="14" spans="2:6" ht="13.5" thickBot="1">
      <c r="B14" s="211"/>
      <c r="D14" s="212"/>
    </row>
    <row r="15" spans="2:6" ht="13.5" thickBot="1">
      <c r="B15" s="208" t="s">
        <v>305</v>
      </c>
      <c r="C15" s="210">
        <f>C4/2</f>
        <v>507767.61505671468</v>
      </c>
      <c r="D15" s="210">
        <v>0</v>
      </c>
      <c r="E15" s="210">
        <f>C15+D15</f>
        <v>507767.61505671468</v>
      </c>
      <c r="F15" s="315">
        <f ca="1">SUM(E13:E15)</f>
        <v>564502.82481606037</v>
      </c>
    </row>
    <row r="16" spans="2:6" ht="13.5" thickBot="1">
      <c r="B16" s="211"/>
      <c r="D16" s="212"/>
    </row>
    <row r="17" spans="2:6" ht="13.5" thickBot="1">
      <c r="B17" s="208">
        <v>46023</v>
      </c>
      <c r="C17" s="210">
        <f>C4</f>
        <v>1015535.2301134294</v>
      </c>
      <c r="D17" s="210">
        <f>C6</f>
        <v>83585.159029516755</v>
      </c>
      <c r="E17" s="210">
        <f>C17+D17</f>
        <v>1099120.3891429461</v>
      </c>
    </row>
    <row r="18" spans="2:6" ht="13.5" thickBot="1">
      <c r="B18" s="211"/>
      <c r="D18" s="212"/>
    </row>
    <row r="19" spans="2:6" ht="13.5" thickBot="1">
      <c r="B19" s="208">
        <v>46054</v>
      </c>
      <c r="C19" s="210">
        <f>C4</f>
        <v>1015535.2301134294</v>
      </c>
      <c r="D19" s="210">
        <f>C6</f>
        <v>83585.159029516755</v>
      </c>
      <c r="E19" s="210">
        <f>C19+D19</f>
        <v>1099120.3891429461</v>
      </c>
    </row>
    <row r="20" spans="2:6" ht="13.5" thickBot="1">
      <c r="B20" s="211"/>
      <c r="D20" s="212"/>
    </row>
    <row r="21" spans="2:6" ht="13.5" thickBot="1">
      <c r="B21" s="208" t="s">
        <v>307</v>
      </c>
      <c r="C21" s="210">
        <f>C4/2</f>
        <v>507767.61505671468</v>
      </c>
      <c r="D21" s="210">
        <v>0</v>
      </c>
      <c r="E21" s="210">
        <f>C21+D21</f>
        <v>507767.61505671468</v>
      </c>
    </row>
    <row r="22" spans="2:6" ht="13.5" thickBot="1">
      <c r="B22" s="211"/>
      <c r="D22" s="212"/>
    </row>
    <row r="23" spans="2:6" ht="13.5" thickBot="1">
      <c r="B23" s="208" t="s">
        <v>306</v>
      </c>
      <c r="C23" s="210">
        <f ca="1">C2/2</f>
        <v>166764.7310525944</v>
      </c>
      <c r="D23" s="210">
        <f>C6</f>
        <v>83585.159029516755</v>
      </c>
      <c r="E23" s="210">
        <f ca="1">C23+D23</f>
        <v>250349.89008211117</v>
      </c>
      <c r="F23" s="315">
        <f ca="1">SUM(E21,E23)</f>
        <v>564502.82481606037</v>
      </c>
    </row>
    <row r="24" spans="2:6" ht="13.5" thickBot="1">
      <c r="B24" s="211"/>
      <c r="D24" s="212"/>
    </row>
    <row r="25" spans="2:6" ht="13.5" thickBot="1">
      <c r="B25" s="208">
        <v>46113</v>
      </c>
      <c r="C25" s="210">
        <f ca="1">C2</f>
        <v>333529.46210518881</v>
      </c>
      <c r="D25" s="210">
        <f>C6</f>
        <v>83585.159029516755</v>
      </c>
      <c r="E25" s="210">
        <f ca="1">SUM(C25:D25)</f>
        <v>417114.62113470555</v>
      </c>
    </row>
    <row r="26" spans="2:6" ht="13.5" thickBot="1">
      <c r="B26" s="211"/>
      <c r="D26" s="212"/>
    </row>
    <row r="27" spans="2:6" ht="13.5" thickBot="1">
      <c r="B27" s="208">
        <v>46143</v>
      </c>
      <c r="C27" s="210">
        <f ca="1">C2</f>
        <v>333529.46210518881</v>
      </c>
      <c r="D27" s="210">
        <f>C6</f>
        <v>83585.159029516755</v>
      </c>
      <c r="E27" s="210">
        <f ca="1">SUM(C27:D27)</f>
        <v>417114.62113470555</v>
      </c>
    </row>
    <row r="28" spans="2:6" ht="13.5" thickBot="1">
      <c r="B28" s="211"/>
      <c r="D28" s="212"/>
    </row>
    <row r="29" spans="2:6" ht="13.5" thickBot="1">
      <c r="B29" s="208">
        <v>46174</v>
      </c>
      <c r="C29" s="210">
        <f ca="1">C2</f>
        <v>333529.46210518881</v>
      </c>
      <c r="D29" s="210">
        <f>C6</f>
        <v>83585.159029516755</v>
      </c>
      <c r="E29" s="210">
        <f ca="1">C29+D29</f>
        <v>417114.62113470555</v>
      </c>
    </row>
    <row r="30" spans="2:6" ht="13.5" thickBot="1">
      <c r="B30" s="211"/>
      <c r="D30" s="212"/>
    </row>
    <row r="31" spans="2:6" ht="13.5" thickBot="1">
      <c r="B31" s="208">
        <v>46204</v>
      </c>
      <c r="C31" s="210">
        <f ca="1">C2</f>
        <v>333529.46210518881</v>
      </c>
      <c r="D31" s="210">
        <f>C6</f>
        <v>83585.159029516755</v>
      </c>
      <c r="E31" s="210">
        <f ca="1">C31+D31</f>
        <v>417114.62113470555</v>
      </c>
    </row>
    <row r="32" spans="2:6" ht="13.5" thickBot="1">
      <c r="B32" s="211"/>
      <c r="D32" s="212"/>
    </row>
    <row r="33" spans="2:5" ht="13.5" thickBot="1">
      <c r="B33" s="208">
        <v>46235</v>
      </c>
      <c r="C33" s="210">
        <f ca="1">C2</f>
        <v>333529.46210518881</v>
      </c>
      <c r="D33" s="210">
        <f>C6</f>
        <v>83585.159029516755</v>
      </c>
      <c r="E33" s="210">
        <f ca="1">SUM(C33:D33)</f>
        <v>417114.62113470555</v>
      </c>
    </row>
    <row r="34" spans="2:5" ht="13.5" thickBot="1">
      <c r="B34" s="211"/>
      <c r="D34" s="212"/>
    </row>
    <row r="35" spans="2:5" ht="13.5" thickBot="1">
      <c r="B35" s="208">
        <v>46266</v>
      </c>
      <c r="C35" s="210">
        <f ca="1">C2</f>
        <v>333529.46210518881</v>
      </c>
      <c r="D35" s="210">
        <f>C6</f>
        <v>83585.159029516755</v>
      </c>
      <c r="E35" s="210">
        <f ca="1">SUM(C35:D35)</f>
        <v>417114.62113470555</v>
      </c>
    </row>
    <row r="36" spans="2:5" ht="13.5" thickBot="1">
      <c r="B36" s="211"/>
      <c r="D36" s="212"/>
    </row>
    <row r="37" spans="2:5" ht="13.5" thickBot="1">
      <c r="B37" s="213"/>
      <c r="C37" s="209">
        <f ca="1">SUM(C9,C11,C13,C15,C17,C19,C21,C23,C25,C27,C29,C31,C33,C35)</f>
        <v>4886682.7673503943</v>
      </c>
      <c r="D37" s="209">
        <f>SUM(D35:D36,D9,D11,D13,D15,D17,D19,D21,D23,D25,D27,D29,D31,D33)+0.01</f>
        <v>1003021.918354201</v>
      </c>
      <c r="E37" s="209">
        <f ca="1">SUM(E9,E11,E13,E15,E17,E19,E21,E23,E25,E27,E29,E31,E33,E35)+0.01</f>
        <v>5889704.6857045963</v>
      </c>
    </row>
    <row r="38" spans="2:5">
      <c r="B38" s="206"/>
      <c r="C38" s="216"/>
      <c r="D38" s="216"/>
      <c r="E38" s="205"/>
    </row>
    <row r="39" spans="2:5">
      <c r="B39" s="206"/>
      <c r="C39" s="216"/>
      <c r="D39" s="216"/>
    </row>
    <row r="40" spans="2:5">
      <c r="B40" s="206"/>
    </row>
    <row r="41" spans="2:5">
      <c r="B41" s="206"/>
      <c r="C41" s="205"/>
    </row>
    <row r="42" spans="2:5">
      <c r="B42" s="206"/>
    </row>
    <row r="43" spans="2:5">
      <c r="B43" s="221"/>
      <c r="C43" s="205"/>
    </row>
    <row r="44" spans="2:5">
      <c r="B44" s="206"/>
      <c r="C44" s="205"/>
    </row>
    <row r="45" spans="2:5">
      <c r="B45" s="221"/>
      <c r="C45" s="205"/>
    </row>
    <row r="46" spans="2:5">
      <c r="B46" s="206"/>
    </row>
    <row r="47" spans="2:5">
      <c r="B47" s="221"/>
      <c r="C47" s="205"/>
    </row>
    <row r="48" spans="2:5">
      <c r="B48" s="206"/>
    </row>
    <row r="49" spans="2:3">
      <c r="B49" s="221"/>
      <c r="C49" s="205"/>
    </row>
    <row r="50" spans="2:3">
      <c r="B50" s="206"/>
    </row>
    <row r="51" spans="2:3">
      <c r="B51" s="221"/>
      <c r="C51" s="205"/>
    </row>
    <row r="52" spans="2:3">
      <c r="B52" s="206"/>
    </row>
    <row r="53" spans="2:3">
      <c r="B53" s="221"/>
      <c r="C53" s="205"/>
    </row>
    <row r="54" spans="2:3">
      <c r="B54" s="206"/>
    </row>
    <row r="55" spans="2:3">
      <c r="B55" s="221"/>
      <c r="C55" s="205"/>
    </row>
    <row r="56" spans="2:3">
      <c r="B56" s="206"/>
    </row>
    <row r="57" spans="2:3">
      <c r="B57" s="221"/>
      <c r="C57" s="205"/>
    </row>
    <row r="58" spans="2:3">
      <c r="B58" s="206"/>
    </row>
    <row r="59" spans="2:3">
      <c r="B59" s="221"/>
      <c r="C59" s="205"/>
    </row>
    <row r="60" spans="2:3">
      <c r="B60" s="206"/>
    </row>
    <row r="61" spans="2:3">
      <c r="B61" s="221"/>
      <c r="C61" s="205"/>
    </row>
    <row r="62" spans="2:3">
      <c r="B62" s="206"/>
    </row>
    <row r="63" spans="2:3">
      <c r="B63" s="221"/>
      <c r="C63" s="205"/>
    </row>
    <row r="64" spans="2:3">
      <c r="B64" s="206"/>
    </row>
    <row r="65" spans="2:4">
      <c r="B65" s="222"/>
      <c r="C65" s="205"/>
    </row>
    <row r="67" spans="2:4">
      <c r="C67" s="216"/>
    </row>
    <row r="71" spans="2:4">
      <c r="D71" s="205"/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9187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14</vt:i4>
      </vt:variant>
      <vt:variant>
        <vt:lpstr>Intervalos Nomeados</vt:lpstr>
      </vt:variant>
      <vt:variant>
        <vt:i4>7</vt:i4>
      </vt:variant>
    </vt:vector>
  </HeadingPairs>
  <TitlesOfParts>
    <vt:vector size="21" baseType="lpstr">
      <vt:lpstr>1_1_Coleta_BX_TEMP</vt:lpstr>
      <vt:lpstr>1_1_Coleta_ALT_TEMP</vt:lpstr>
      <vt:lpstr>1_1_Coleta_SELETIVA</vt:lpstr>
      <vt:lpstr>2_Encargos_Sociais</vt:lpstr>
      <vt:lpstr>3_CAGED</vt:lpstr>
      <vt:lpstr>4_BDI</vt:lpstr>
      <vt:lpstr>5__Depreciação</vt:lpstr>
      <vt:lpstr>6_Remuneração_de_capital</vt:lpstr>
      <vt:lpstr>TOTAL</vt:lpstr>
      <vt:lpstr>CALCULO-Baixa (2)</vt:lpstr>
      <vt:lpstr>CALCULO-Baixa</vt:lpstr>
      <vt:lpstr>CALCULO-Alta</vt:lpstr>
      <vt:lpstr>MemoriaCalculo</vt:lpstr>
      <vt:lpstr>Pla Resumo</vt:lpstr>
      <vt:lpstr>AbaDeprec</vt:lpstr>
      <vt:lpstr>AbaRemun</vt:lpstr>
      <vt:lpstr>'1_1_Coleta_ALT_TEMP'!Area_de_impressao</vt:lpstr>
      <vt:lpstr>'1_1_Coleta_BX_TEMP'!Area_de_impressao</vt:lpstr>
      <vt:lpstr>'1_1_Coleta_SELETIVA'!Area_de_impressao</vt:lpstr>
      <vt:lpstr>'2_Encargos_Sociais'!Area_de_impressao</vt:lpstr>
      <vt:lpstr>'3_CAGED'!Area_de_impressao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Planilha de Custos Coleta e Transporte RSU</dc:title>
  <dc:creator>Flavia Burmeister Martins</dc:creator>
  <cp:lastModifiedBy>Usuario</cp:lastModifiedBy>
  <cp:revision>188</cp:revision>
  <cp:lastPrinted>2026-03-03T12:34:32Z</cp:lastPrinted>
  <dcterms:created xsi:type="dcterms:W3CDTF">2000-12-13T10:02:50Z</dcterms:created>
  <dcterms:modified xsi:type="dcterms:W3CDTF">2026-03-03T12:34:51Z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Company">
    <vt:lpwstr>dmlu</vt:lpwstr>
  </property>
  <property fmtid="{D5CDD505-2E9C-101B-9397-08002B2CF9AE}" pid="4" name="DocSecurity">
    <vt:r8>0</vt:r8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