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EFEITURA\2026\COLETA_LIXO\2026 - LicitaçãoColetaRSD2025_Maio2026\13Julho2026\"/>
    </mc:Choice>
  </mc:AlternateContent>
  <xr:revisionPtr revIDLastSave="0" documentId="13_ncr:1_{BFB086BC-E66F-4756-B105-A48FC12D1F1D}" xr6:coauthVersionLast="47" xr6:coauthVersionMax="47" xr10:uidLastSave="{00000000-0000-0000-0000-000000000000}"/>
  <bookViews>
    <workbookView xWindow="20280" yWindow="-120" windowWidth="29040" windowHeight="15720" activeTab="2" xr2:uid="{00000000-000D-0000-FFFF-FFFF00000000}"/>
  </bookViews>
  <sheets>
    <sheet name="1_1_Coleta_BX_TEMP" sheetId="1" r:id="rId1"/>
    <sheet name="1_1_Coleta_ALTA_TEMP (2turnos)" sheetId="19" r:id="rId2"/>
    <sheet name="1_1_Coleta_SELETIVA " sheetId="20" r:id="rId3"/>
    <sheet name="2_Encargos_Sociais" sheetId="4" r:id="rId4"/>
    <sheet name="3_CAGED" sheetId="5" r:id="rId5"/>
    <sheet name="4_BDI" sheetId="6" r:id="rId6"/>
    <sheet name="5__Depreciação" sheetId="7" r:id="rId7"/>
    <sheet name="6_Remuneração_de_capital" sheetId="8" r:id="rId8"/>
    <sheet name="TOTAL" sheetId="13" r:id="rId9"/>
    <sheet name="CALCULO-Baixa" sheetId="16" r:id="rId10"/>
    <sheet name="CALCULO-Alta" sheetId="17" r:id="rId11"/>
    <sheet name="MemoriaCalculo" sheetId="14" r:id="rId12"/>
    <sheet name="Pla Resumo" sheetId="15" r:id="rId13"/>
  </sheets>
  <definedNames>
    <definedName name="AbaDeprec">'5__Depreciação'!$A$1</definedName>
    <definedName name="AbaRemun">'6_Remuneração_de_capital'!$A$1</definedName>
    <definedName name="_xlnm.Print_Area" localSheetId="1">'1_1_Coleta_ALTA_TEMP (2turnos)'!$A$1:$F$352</definedName>
    <definedName name="_xlnm.Print_Area" localSheetId="0">'1_1_Coleta_BX_TEMP'!$A$1:$F$358</definedName>
    <definedName name="_xlnm.Print_Area" localSheetId="2">'1_1_Coleta_SELETIVA '!$A$1:$F$346</definedName>
    <definedName name="_xlnm.Print_Area" localSheetId="3">'2_Encargos_Sociais'!$A$1:$C$39</definedName>
    <definedName name="_xlnm.Print_Area" localSheetId="4">'3_CAGED'!$A$1:$C$35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4" l="1"/>
  <c r="D24" i="14"/>
  <c r="D347" i="19"/>
  <c r="E35" i="19"/>
  <c r="E33" i="19"/>
  <c r="A12" i="19"/>
  <c r="F353" i="1"/>
  <c r="F342" i="1"/>
  <c r="F297" i="1"/>
  <c r="F267" i="1"/>
  <c r="F254" i="1"/>
  <c r="F245" i="1"/>
  <c r="F240" i="1"/>
  <c r="F222" i="1"/>
  <c r="F212" i="1"/>
  <c r="D171" i="1"/>
  <c r="D157" i="1"/>
  <c r="F139" i="1"/>
  <c r="E7" i="14"/>
  <c r="C246" i="20"/>
  <c r="D72" i="20"/>
  <c r="E333" i="19"/>
  <c r="F333" i="19" s="1"/>
  <c r="E120" i="19"/>
  <c r="F121" i="19" s="1"/>
  <c r="E12" i="19" s="1"/>
  <c r="E114" i="19"/>
  <c r="C114" i="1"/>
  <c r="C109" i="19"/>
  <c r="C103" i="19"/>
  <c r="C70" i="19"/>
  <c r="C86" i="19" s="1"/>
  <c r="D70" i="19"/>
  <c r="C56" i="19"/>
  <c r="C71" i="20"/>
  <c r="C72" i="1"/>
  <c r="C57" i="1"/>
  <c r="E155" i="20"/>
  <c r="F33" i="19" l="1"/>
  <c r="A14" i="20"/>
  <c r="C132" i="20"/>
  <c r="E132" i="20" s="1"/>
  <c r="F133" i="20" s="1"/>
  <c r="E14" i="20" s="1"/>
  <c r="A14" i="19"/>
  <c r="A14" i="1"/>
  <c r="C135" i="1"/>
  <c r="E135" i="1" s="1"/>
  <c r="E315" i="20"/>
  <c r="E315" i="19"/>
  <c r="E321" i="1"/>
  <c r="E133" i="20" l="1"/>
  <c r="F136" i="1"/>
  <c r="E14" i="1" s="1"/>
  <c r="E339" i="1"/>
  <c r="C152" i="19"/>
  <c r="C78" i="19"/>
  <c r="C63" i="19"/>
  <c r="C101" i="19" s="1"/>
  <c r="C14" i="6"/>
  <c r="E312" i="19"/>
  <c r="E313" i="19"/>
  <c r="E311" i="19"/>
  <c r="E312" i="20"/>
  <c r="E313" i="20"/>
  <c r="E314" i="20"/>
  <c r="E311" i="20"/>
  <c r="A13" i="20"/>
  <c r="A12" i="20"/>
  <c r="A33" i="19"/>
  <c r="A13" i="19"/>
  <c r="A33" i="1"/>
  <c r="A13" i="1"/>
  <c r="A12" i="1"/>
  <c r="E327" i="20"/>
  <c r="D325" i="20"/>
  <c r="E325" i="20" s="1"/>
  <c r="D326" i="20" s="1"/>
  <c r="E326" i="20" s="1"/>
  <c r="E323" i="20"/>
  <c r="D324" i="20" s="1"/>
  <c r="E324" i="20" s="1"/>
  <c r="C303" i="20"/>
  <c r="E301" i="20"/>
  <c r="D302" i="20" s="1"/>
  <c r="E302" i="20" s="1"/>
  <c r="D303" i="20" s="1"/>
  <c r="C296" i="20"/>
  <c r="E296" i="20" s="1"/>
  <c r="F297" i="20" s="1"/>
  <c r="E29" i="20" s="1"/>
  <c r="E291" i="20"/>
  <c r="D290" i="20"/>
  <c r="D288" i="20"/>
  <c r="C288" i="20"/>
  <c r="C290" i="20" s="1"/>
  <c r="E279" i="20"/>
  <c r="E278" i="20"/>
  <c r="D266" i="20"/>
  <c r="E266" i="20" s="1"/>
  <c r="C259" i="20"/>
  <c r="E255" i="20"/>
  <c r="D258" i="20" s="1"/>
  <c r="E258" i="20" s="1"/>
  <c r="D259" i="20" s="1"/>
  <c r="C248" i="20"/>
  <c r="E246" i="20"/>
  <c r="E244" i="20"/>
  <c r="D233" i="20"/>
  <c r="D231" i="20"/>
  <c r="D229" i="20"/>
  <c r="D227" i="20"/>
  <c r="D225" i="20"/>
  <c r="C225" i="20"/>
  <c r="C229" i="20" s="1"/>
  <c r="C213" i="20"/>
  <c r="C214" i="20" s="1"/>
  <c r="E214" i="20" s="1"/>
  <c r="C206" i="20"/>
  <c r="C201" i="20"/>
  <c r="D200" i="20"/>
  <c r="C200" i="20"/>
  <c r="D195" i="20"/>
  <c r="E195" i="20" s="1"/>
  <c r="C187" i="20"/>
  <c r="C186" i="20"/>
  <c r="E183" i="20"/>
  <c r="D186" i="20" s="1"/>
  <c r="C182" i="20"/>
  <c r="C181" i="20"/>
  <c r="E178" i="20"/>
  <c r="D181" i="20" s="1"/>
  <c r="I175" i="20"/>
  <c r="E169" i="20"/>
  <c r="E167" i="20"/>
  <c r="D166" i="20"/>
  <c r="E166" i="20" s="1"/>
  <c r="D165" i="20"/>
  <c r="E165" i="20" s="1"/>
  <c r="D164" i="20"/>
  <c r="E164" i="20" s="1"/>
  <c r="D163" i="20"/>
  <c r="E163" i="20" s="1"/>
  <c r="D162" i="20"/>
  <c r="E162" i="20" s="1"/>
  <c r="D161" i="20"/>
  <c r="E161" i="20" s="1"/>
  <c r="D160" i="20"/>
  <c r="E160" i="20" s="1"/>
  <c r="D159" i="20"/>
  <c r="E159" i="20" s="1"/>
  <c r="E153" i="20"/>
  <c r="E152" i="20"/>
  <c r="E151" i="20"/>
  <c r="E150" i="20"/>
  <c r="E149" i="20"/>
  <c r="E148" i="20"/>
  <c r="E147" i="20"/>
  <c r="E146" i="20"/>
  <c r="E145" i="20"/>
  <c r="E144" i="20"/>
  <c r="E143" i="20"/>
  <c r="E142" i="20"/>
  <c r="E141" i="20"/>
  <c r="E127" i="20"/>
  <c r="F128" i="20" s="1"/>
  <c r="E13" i="20" s="1"/>
  <c r="E122" i="20"/>
  <c r="E123" i="20" s="1"/>
  <c r="E118" i="20"/>
  <c r="C117" i="20"/>
  <c r="E117" i="20" s="1"/>
  <c r="C116" i="20"/>
  <c r="E116" i="20" s="1"/>
  <c r="A111" i="20"/>
  <c r="A117" i="20" s="1"/>
  <c r="A110" i="20"/>
  <c r="A116" i="20" s="1"/>
  <c r="C105" i="20"/>
  <c r="C104" i="20"/>
  <c r="D86" i="20"/>
  <c r="D85" i="20"/>
  <c r="D90" i="20" s="1"/>
  <c r="E90" i="20" s="1"/>
  <c r="E81" i="20"/>
  <c r="D73" i="20"/>
  <c r="E73" i="20" s="1"/>
  <c r="E72" i="20"/>
  <c r="E70" i="20"/>
  <c r="E65" i="20"/>
  <c r="D58" i="20"/>
  <c r="E58" i="20" s="1"/>
  <c r="D57" i="20"/>
  <c r="E57" i="20" s="1"/>
  <c r="E56" i="20"/>
  <c r="A46" i="20"/>
  <c r="A41" i="20"/>
  <c r="E40" i="20"/>
  <c r="C111" i="20" s="1"/>
  <c r="E111" i="20" s="1"/>
  <c r="A40" i="20"/>
  <c r="E39" i="20"/>
  <c r="C110" i="20" s="1"/>
  <c r="E110" i="20" s="1"/>
  <c r="A39" i="20"/>
  <c r="A33" i="20"/>
  <c r="A32" i="20"/>
  <c r="A31" i="20"/>
  <c r="A23" i="20"/>
  <c r="A22" i="20"/>
  <c r="A21" i="20"/>
  <c r="A20" i="20"/>
  <c r="A19" i="20"/>
  <c r="A18" i="20"/>
  <c r="A17" i="20"/>
  <c r="A16" i="20"/>
  <c r="A15" i="20"/>
  <c r="A11" i="20"/>
  <c r="A10" i="20"/>
  <c r="A9" i="20"/>
  <c r="E8" i="20"/>
  <c r="A7" i="20"/>
  <c r="A6" i="20"/>
  <c r="A5" i="20"/>
  <c r="E327" i="19"/>
  <c r="D325" i="19"/>
  <c r="E323" i="19"/>
  <c r="D324" i="19" s="1"/>
  <c r="E324" i="19" s="1"/>
  <c r="E314" i="19"/>
  <c r="C302" i="19"/>
  <c r="E300" i="19"/>
  <c r="D301" i="19" s="1"/>
  <c r="E301" i="19" s="1"/>
  <c r="D302" i="19" s="1"/>
  <c r="C295" i="19"/>
  <c r="E295" i="19" s="1"/>
  <c r="F296" i="19" s="1"/>
  <c r="E29" i="19" s="1"/>
  <c r="E290" i="19"/>
  <c r="D289" i="19"/>
  <c r="D287" i="19"/>
  <c r="C287" i="19"/>
  <c r="C289" i="19" s="1"/>
  <c r="E280" i="19"/>
  <c r="E278" i="19"/>
  <c r="E277" i="19"/>
  <c r="E272" i="19"/>
  <c r="D265" i="19"/>
  <c r="E265" i="19" s="1"/>
  <c r="C258" i="19"/>
  <c r="E254" i="19"/>
  <c r="D276" i="19" s="1"/>
  <c r="C247" i="19"/>
  <c r="C245" i="19"/>
  <c r="E245" i="19" s="1"/>
  <c r="E243" i="19"/>
  <c r="D232" i="19"/>
  <c r="D230" i="19"/>
  <c r="D228" i="19"/>
  <c r="D226" i="19"/>
  <c r="D224" i="19"/>
  <c r="C224" i="19"/>
  <c r="C212" i="19"/>
  <c r="C213" i="19" s="1"/>
  <c r="C205" i="19"/>
  <c r="C200" i="19"/>
  <c r="D199" i="19"/>
  <c r="C199" i="19"/>
  <c r="D194" i="19"/>
  <c r="E194" i="19" s="1"/>
  <c r="C185" i="19"/>
  <c r="C184" i="19"/>
  <c r="E181" i="19"/>
  <c r="C180" i="19"/>
  <c r="C179" i="19"/>
  <c r="E176" i="19"/>
  <c r="E167" i="19"/>
  <c r="E165" i="19"/>
  <c r="D164" i="19"/>
  <c r="E164" i="19" s="1"/>
  <c r="D163" i="19"/>
  <c r="E163" i="19" s="1"/>
  <c r="D162" i="19"/>
  <c r="E162" i="19" s="1"/>
  <c r="D161" i="19"/>
  <c r="E161" i="19" s="1"/>
  <c r="D160" i="19"/>
  <c r="E160" i="19" s="1"/>
  <c r="D159" i="19"/>
  <c r="E159" i="19" s="1"/>
  <c r="D158" i="19"/>
  <c r="E158" i="19" s="1"/>
  <c r="D157" i="19"/>
  <c r="E157" i="19" s="1"/>
  <c r="E153" i="19"/>
  <c r="E151" i="19"/>
  <c r="E150" i="19"/>
  <c r="E149" i="19"/>
  <c r="E148" i="19"/>
  <c r="E147" i="19"/>
  <c r="E146" i="19"/>
  <c r="E145" i="19"/>
  <c r="E144" i="19"/>
  <c r="E143" i="19"/>
  <c r="E142" i="19"/>
  <c r="E141" i="19"/>
  <c r="E140" i="19"/>
  <c r="E139" i="19"/>
  <c r="E125" i="19"/>
  <c r="F126" i="19" s="1"/>
  <c r="E13" i="19" s="1"/>
  <c r="E116" i="19"/>
  <c r="A109" i="19"/>
  <c r="C108" i="19"/>
  <c r="E108" i="19" s="1"/>
  <c r="A108" i="19"/>
  <c r="A115" i="19" s="1"/>
  <c r="C85" i="19"/>
  <c r="D83" i="19"/>
  <c r="D82" i="19"/>
  <c r="E79" i="19"/>
  <c r="D71" i="19"/>
  <c r="E71" i="19" s="1"/>
  <c r="E70" i="19"/>
  <c r="E68" i="19"/>
  <c r="D102" i="19" s="1"/>
  <c r="E64" i="19"/>
  <c r="D57" i="19"/>
  <c r="E57" i="19" s="1"/>
  <c r="D56" i="19"/>
  <c r="E56" i="19" s="1"/>
  <c r="E55" i="19"/>
  <c r="D101" i="19" s="1"/>
  <c r="A45" i="19"/>
  <c r="E42" i="19"/>
  <c r="A41" i="19"/>
  <c r="A40" i="19"/>
  <c r="C107" i="19"/>
  <c r="E107" i="19" s="1"/>
  <c r="A39" i="19"/>
  <c r="A34" i="19"/>
  <c r="A32" i="19"/>
  <c r="A31" i="19"/>
  <c r="A23" i="19"/>
  <c r="A22" i="19"/>
  <c r="A21" i="19"/>
  <c r="A20" i="19"/>
  <c r="A19" i="19"/>
  <c r="A18" i="19"/>
  <c r="A17" i="19"/>
  <c r="A16" i="19"/>
  <c r="A15" i="19"/>
  <c r="A11" i="19"/>
  <c r="A10" i="19"/>
  <c r="A9" i="19"/>
  <c r="A7" i="19"/>
  <c r="A6" i="19"/>
  <c r="A5" i="19"/>
  <c r="D331" i="1"/>
  <c r="C301" i="1"/>
  <c r="C293" i="1"/>
  <c r="E296" i="1"/>
  <c r="E130" i="1"/>
  <c r="F131" i="1" s="1"/>
  <c r="E13" i="1" s="1"/>
  <c r="E125" i="1"/>
  <c r="F126" i="1" s="1"/>
  <c r="E12" i="1" s="1"/>
  <c r="D168" i="1"/>
  <c r="E168" i="1" s="1"/>
  <c r="D164" i="1"/>
  <c r="E164" i="1" s="1"/>
  <c r="E154" i="1"/>
  <c r="E146" i="1"/>
  <c r="D162" i="1"/>
  <c r="D85" i="1"/>
  <c r="D90" i="1" s="1"/>
  <c r="E90" i="1" s="1"/>
  <c r="C107" i="1"/>
  <c r="A41" i="1"/>
  <c r="A114" i="1"/>
  <c r="D86" i="1"/>
  <c r="C88" i="1"/>
  <c r="E8" i="1"/>
  <c r="D163" i="1"/>
  <c r="E163" i="1" s="1"/>
  <c r="E145" i="1"/>
  <c r="I179" i="1"/>
  <c r="C15" i="6"/>
  <c r="D59" i="20" l="1"/>
  <c r="E101" i="19"/>
  <c r="D103" i="19"/>
  <c r="E103" i="19" s="1"/>
  <c r="C115" i="19"/>
  <c r="E115" i="19" s="1"/>
  <c r="C102" i="19"/>
  <c r="E102" i="19" s="1"/>
  <c r="E289" i="19"/>
  <c r="E259" i="20"/>
  <c r="E260" i="20" s="1"/>
  <c r="D261" i="20" s="1"/>
  <c r="E261" i="20" s="1"/>
  <c r="F262" i="20" s="1"/>
  <c r="E25" i="20" s="1"/>
  <c r="D74" i="20"/>
  <c r="E74" i="20" s="1"/>
  <c r="D76" i="20" s="1"/>
  <c r="E76" i="20" s="1"/>
  <c r="E77" i="20" s="1"/>
  <c r="C130" i="19"/>
  <c r="E130" i="19" s="1"/>
  <c r="C113" i="19"/>
  <c r="E113" i="19" s="1"/>
  <c r="F316" i="19"/>
  <c r="F318" i="19" s="1"/>
  <c r="E31" i="19" s="1"/>
  <c r="E199" i="19"/>
  <c r="E287" i="19"/>
  <c r="E109" i="19"/>
  <c r="F110" i="19" s="1"/>
  <c r="E10" i="19" s="1"/>
  <c r="F339" i="1"/>
  <c r="E33" i="1" s="1"/>
  <c r="E114" i="1"/>
  <c r="D247" i="20"/>
  <c r="E247" i="20" s="1"/>
  <c r="D248" i="20" s="1"/>
  <c r="E248" i="20" s="1"/>
  <c r="F249" i="20" s="1"/>
  <c r="E23" i="20" s="1"/>
  <c r="D234" i="20"/>
  <c r="E325" i="19"/>
  <c r="D326" i="19" s="1"/>
  <c r="E326" i="19" s="1"/>
  <c r="F327" i="19" s="1"/>
  <c r="F329" i="19" s="1"/>
  <c r="E32" i="19" s="1"/>
  <c r="D246" i="19"/>
  <c r="E246" i="19" s="1"/>
  <c r="D247" i="19" s="1"/>
  <c r="E247" i="19" s="1"/>
  <c r="F248" i="19" s="1"/>
  <c r="E23" i="19" s="1"/>
  <c r="D152" i="19"/>
  <c r="E152" i="19" s="1"/>
  <c r="F153" i="19" s="1"/>
  <c r="D233" i="19"/>
  <c r="E224" i="19"/>
  <c r="C232" i="19"/>
  <c r="E232" i="19" s="1"/>
  <c r="C228" i="19"/>
  <c r="E228" i="19" s="1"/>
  <c r="C226" i="19"/>
  <c r="E226" i="19" s="1"/>
  <c r="D184" i="19"/>
  <c r="E184" i="19" s="1"/>
  <c r="D185" i="19" s="1"/>
  <c r="E185" i="19" s="1"/>
  <c r="C201" i="19"/>
  <c r="C202" i="19" s="1"/>
  <c r="D203" i="19" s="1"/>
  <c r="E203" i="19" s="1"/>
  <c r="D179" i="19"/>
  <c r="E179" i="19" s="1"/>
  <c r="D180" i="19" s="1"/>
  <c r="E180" i="19" s="1"/>
  <c r="D212" i="19"/>
  <c r="E212" i="19" s="1"/>
  <c r="C196" i="19"/>
  <c r="C197" i="19" s="1"/>
  <c r="D198" i="19" s="1"/>
  <c r="E198" i="19" s="1"/>
  <c r="E82" i="19"/>
  <c r="D85" i="19"/>
  <c r="E85" i="19" s="1"/>
  <c r="D86" i="19"/>
  <c r="E86" i="19" s="1"/>
  <c r="E290" i="20"/>
  <c r="E128" i="20"/>
  <c r="D168" i="20"/>
  <c r="E168" i="20" s="1"/>
  <c r="F169" i="20" s="1"/>
  <c r="D89" i="20"/>
  <c r="E89" i="20" s="1"/>
  <c r="D91" i="20" s="1"/>
  <c r="E91" i="20" s="1"/>
  <c r="D213" i="20"/>
  <c r="E213" i="20" s="1"/>
  <c r="F316" i="20"/>
  <c r="F318" i="20" s="1"/>
  <c r="E31" i="20" s="1"/>
  <c r="D154" i="20"/>
  <c r="E154" i="20" s="1"/>
  <c r="F155" i="20" s="1"/>
  <c r="E229" i="20"/>
  <c r="C268" i="20"/>
  <c r="C269" i="20" s="1"/>
  <c r="D270" i="20" s="1"/>
  <c r="E270" i="20" s="1"/>
  <c r="E271" i="20" s="1"/>
  <c r="D272" i="20" s="1"/>
  <c r="E272" i="20" s="1"/>
  <c r="F273" i="20" s="1"/>
  <c r="E26" i="20" s="1"/>
  <c r="D277" i="20"/>
  <c r="D280" i="20" s="1"/>
  <c r="E280" i="20" s="1"/>
  <c r="F281" i="20" s="1"/>
  <c r="E27" i="20" s="1"/>
  <c r="E104" i="20"/>
  <c r="E200" i="20"/>
  <c r="F327" i="20"/>
  <c r="F329" i="20" s="1"/>
  <c r="E32" i="20" s="1"/>
  <c r="E186" i="20"/>
  <c r="D187" i="20" s="1"/>
  <c r="E187" i="20" s="1"/>
  <c r="E303" i="20"/>
  <c r="F304" i="20" s="1"/>
  <c r="E30" i="20" s="1"/>
  <c r="E59" i="20"/>
  <c r="F112" i="20"/>
  <c r="E10" i="20" s="1"/>
  <c r="E181" i="20"/>
  <c r="D182" i="20" s="1"/>
  <c r="E182" i="20" s="1"/>
  <c r="F118" i="20"/>
  <c r="E85" i="20"/>
  <c r="F123" i="20"/>
  <c r="E12" i="20" s="1"/>
  <c r="C227" i="20"/>
  <c r="E227" i="20" s="1"/>
  <c r="E43" i="20"/>
  <c r="C197" i="20"/>
  <c r="C198" i="20" s="1"/>
  <c r="D199" i="20" s="1"/>
  <c r="E199" i="20" s="1"/>
  <c r="C233" i="20"/>
  <c r="E233" i="20" s="1"/>
  <c r="E288" i="20"/>
  <c r="C231" i="20"/>
  <c r="E231" i="20" s="1"/>
  <c r="C239" i="20"/>
  <c r="E239" i="20" s="1"/>
  <c r="F240" i="20" s="1"/>
  <c r="E22" i="20" s="1"/>
  <c r="C215" i="20"/>
  <c r="E215" i="20" s="1"/>
  <c r="D88" i="20"/>
  <c r="E88" i="20" s="1"/>
  <c r="D105" i="20"/>
  <c r="E105" i="20" s="1"/>
  <c r="E225" i="20"/>
  <c r="D58" i="19"/>
  <c r="E58" i="19" s="1"/>
  <c r="D59" i="19" s="1"/>
  <c r="E59" i="19" s="1"/>
  <c r="E60" i="19" s="1"/>
  <c r="E302" i="19"/>
  <c r="F303" i="19" s="1"/>
  <c r="E30" i="19" s="1"/>
  <c r="D166" i="19"/>
  <c r="E166" i="19" s="1"/>
  <c r="F167" i="19" s="1"/>
  <c r="D72" i="19"/>
  <c r="E72" i="19" s="1"/>
  <c r="D74" i="19" s="1"/>
  <c r="E74" i="19" s="1"/>
  <c r="D279" i="19"/>
  <c r="E279" i="19" s="1"/>
  <c r="F280" i="19" s="1"/>
  <c r="E27" i="19" s="1"/>
  <c r="E276" i="19"/>
  <c r="E213" i="19"/>
  <c r="C214" i="19"/>
  <c r="E214" i="19" s="1"/>
  <c r="D257" i="19"/>
  <c r="E257" i="19" s="1"/>
  <c r="D258" i="19" s="1"/>
  <c r="E258" i="19" s="1"/>
  <c r="E259" i="19" s="1"/>
  <c r="D260" i="19" s="1"/>
  <c r="E260" i="19" s="1"/>
  <c r="F261" i="19" s="1"/>
  <c r="E25" i="19" s="1"/>
  <c r="D87" i="19"/>
  <c r="E87" i="19" s="1"/>
  <c r="C230" i="19"/>
  <c r="E230" i="19" s="1"/>
  <c r="C238" i="19"/>
  <c r="E238" i="19" s="1"/>
  <c r="F239" i="19" s="1"/>
  <c r="E22" i="19" s="1"/>
  <c r="C267" i="19"/>
  <c r="D89" i="1"/>
  <c r="E89" i="1" s="1"/>
  <c r="D91" i="1" s="1"/>
  <c r="E91" i="1" s="1"/>
  <c r="E85" i="1"/>
  <c r="D88" i="1"/>
  <c r="E88" i="1" s="1"/>
  <c r="L10" i="17"/>
  <c r="L16" i="16"/>
  <c r="K8" i="15"/>
  <c r="K9" i="15" s="1"/>
  <c r="L14" i="16"/>
  <c r="F235" i="20" l="1"/>
  <c r="E21" i="20" s="1"/>
  <c r="D60" i="20"/>
  <c r="E60" i="20" s="1"/>
  <c r="E61" i="20" s="1"/>
  <c r="D62" i="20" s="1"/>
  <c r="C202" i="20"/>
  <c r="C203" i="20" s="1"/>
  <c r="D204" i="20" s="1"/>
  <c r="E204" i="20" s="1"/>
  <c r="E205" i="20" s="1"/>
  <c r="D206" i="20" s="1"/>
  <c r="E206" i="20" s="1"/>
  <c r="F207" i="20" s="1"/>
  <c r="F116" i="19"/>
  <c r="F291" i="19"/>
  <c r="E28" i="19" s="1"/>
  <c r="F104" i="19"/>
  <c r="E9" i="19" s="1"/>
  <c r="E277" i="20"/>
  <c r="F292" i="20"/>
  <c r="E28" i="20" s="1"/>
  <c r="E24" i="20" s="1"/>
  <c r="F131" i="19"/>
  <c r="E14" i="19" s="1"/>
  <c r="C268" i="19"/>
  <c r="D269" i="19" s="1"/>
  <c r="E269" i="19" s="1"/>
  <c r="E270" i="19" s="1"/>
  <c r="D271" i="19" s="1"/>
  <c r="E271" i="19" s="1"/>
  <c r="F272" i="19" s="1"/>
  <c r="E26" i="19" s="1"/>
  <c r="E204" i="19"/>
  <c r="D205" i="19" s="1"/>
  <c r="E205" i="19" s="1"/>
  <c r="F206" i="19" s="1"/>
  <c r="F208" i="19" s="1"/>
  <c r="F169" i="19"/>
  <c r="E15" i="19" s="1"/>
  <c r="F234" i="19"/>
  <c r="E21" i="19" s="1"/>
  <c r="D88" i="19"/>
  <c r="E88" i="19" s="1"/>
  <c r="D90" i="19" s="1"/>
  <c r="E90" i="19" s="1"/>
  <c r="E91" i="19" s="1"/>
  <c r="E186" i="19"/>
  <c r="D187" i="19" s="1"/>
  <c r="E187" i="19" s="1"/>
  <c r="F188" i="19" s="1"/>
  <c r="E18" i="19" s="1"/>
  <c r="E188" i="20"/>
  <c r="D189" i="20" s="1"/>
  <c r="E189" i="20" s="1"/>
  <c r="F190" i="20" s="1"/>
  <c r="E18" i="20" s="1"/>
  <c r="F171" i="20"/>
  <c r="E15" i="20" s="1"/>
  <c r="D216" i="20"/>
  <c r="E216" i="20" s="1"/>
  <c r="F106" i="20"/>
  <c r="E9" i="20" s="1"/>
  <c r="E11" i="20"/>
  <c r="D93" i="20"/>
  <c r="E93" i="20" s="1"/>
  <c r="E94" i="20" s="1"/>
  <c r="D78" i="20"/>
  <c r="D61" i="19"/>
  <c r="D215" i="19"/>
  <c r="E215" i="19" s="1"/>
  <c r="F216" i="19" s="1"/>
  <c r="E20" i="19" s="1"/>
  <c r="E75" i="19"/>
  <c r="D93" i="1"/>
  <c r="E93" i="1" s="1"/>
  <c r="E94" i="1" s="1"/>
  <c r="D95" i="1" s="1"/>
  <c r="F217" i="20" l="1"/>
  <c r="E20" i="20" s="1"/>
  <c r="E11" i="19"/>
  <c r="E24" i="19"/>
  <c r="E19" i="19"/>
  <c r="E17" i="19" s="1"/>
  <c r="D95" i="20"/>
  <c r="E19" i="20"/>
  <c r="F209" i="20"/>
  <c r="F306" i="20" s="1"/>
  <c r="E16" i="20" s="1"/>
  <c r="D92" i="19"/>
  <c r="D76" i="19"/>
  <c r="F306" i="19"/>
  <c r="E16" i="19" s="1"/>
  <c r="C21" i="17"/>
  <c r="C13" i="17"/>
  <c r="J9" i="15"/>
  <c r="J8" i="15"/>
  <c r="J11" i="15"/>
  <c r="J12" i="15"/>
  <c r="J13" i="15"/>
  <c r="J15" i="15"/>
  <c r="J16" i="15"/>
  <c r="J17" i="15"/>
  <c r="J18" i="15"/>
  <c r="J19" i="15"/>
  <c r="J10" i="15"/>
  <c r="C13" i="16"/>
  <c r="E17" i="20" l="1"/>
  <c r="J21" i="15"/>
  <c r="K21" i="15" s="1"/>
  <c r="J6" i="14" l="1"/>
  <c r="J7" i="14"/>
  <c r="J9" i="14"/>
  <c r="J10" i="14"/>
  <c r="J11" i="14"/>
  <c r="J12" i="14"/>
  <c r="J13" i="14"/>
  <c r="J16" i="14"/>
  <c r="J5" i="14"/>
  <c r="L9" i="14"/>
  <c r="N9" i="14" s="1"/>
  <c r="L10" i="14"/>
  <c r="N10" i="14" s="1"/>
  <c r="L11" i="14"/>
  <c r="N11" i="14" s="1"/>
  <c r="L12" i="14"/>
  <c r="N12" i="14" s="1"/>
  <c r="L13" i="14"/>
  <c r="N13" i="14" s="1"/>
  <c r="L14" i="14"/>
  <c r="N14" i="14" s="1"/>
  <c r="L15" i="14"/>
  <c r="N15" i="14" s="1"/>
  <c r="L8" i="14"/>
  <c r="N8" i="14" s="1"/>
  <c r="D42" i="15"/>
  <c r="C42" i="15"/>
  <c r="B42" i="15"/>
  <c r="J17" i="14" l="1"/>
  <c r="N8" i="15"/>
  <c r="N9" i="15"/>
  <c r="N10" i="15"/>
  <c r="N11" i="15"/>
  <c r="N12" i="15"/>
  <c r="N13" i="15"/>
  <c r="N14" i="15"/>
  <c r="N15" i="15"/>
  <c r="N7" i="15"/>
  <c r="C21" i="15"/>
  <c r="E21" i="15"/>
  <c r="D21" i="15"/>
  <c r="B21" i="15"/>
  <c r="F21" i="15"/>
  <c r="H21" i="15"/>
  <c r="G21" i="15"/>
  <c r="C18" i="14" l="1"/>
  <c r="C24" i="14" s="1"/>
  <c r="E8" i="14"/>
  <c r="E9" i="14"/>
  <c r="E10" i="14"/>
  <c r="E11" i="14"/>
  <c r="E12" i="14"/>
  <c r="E13" i="14"/>
  <c r="E14" i="14"/>
  <c r="E15" i="14"/>
  <c r="D5" i="14"/>
  <c r="X31" i="14"/>
  <c r="AJ31" i="14"/>
  <c r="AH31" i="14"/>
  <c r="AF31" i="14"/>
  <c r="AD31" i="14"/>
  <c r="V31" i="14"/>
  <c r="R31" i="14"/>
  <c r="P31" i="14"/>
  <c r="D6" i="14"/>
  <c r="L6" i="14" s="1"/>
  <c r="N6" i="14" s="1"/>
  <c r="AL31" i="14"/>
  <c r="AB31" i="14"/>
  <c r="T31" i="14"/>
  <c r="Z31" i="14"/>
  <c r="G17" i="14"/>
  <c r="G24" i="14" l="1"/>
  <c r="K24" i="14" s="1"/>
  <c r="N24" i="14" s="1"/>
  <c r="E5" i="14"/>
  <c r="L5" i="14"/>
  <c r="N5" i="14" s="1"/>
  <c r="T33" i="14"/>
  <c r="D16" i="14" s="1"/>
  <c r="Z33" i="14"/>
  <c r="D18" i="14" s="1"/>
  <c r="C21" i="14"/>
  <c r="C106" i="1"/>
  <c r="C105" i="1"/>
  <c r="D107" i="1" s="1"/>
  <c r="E107" i="1" s="1"/>
  <c r="C20" i="4"/>
  <c r="C190" i="1"/>
  <c r="C185" i="1"/>
  <c r="C20" i="6"/>
  <c r="F13" i="6"/>
  <c r="E13" i="6"/>
  <c r="D13" i="6"/>
  <c r="C25" i="5"/>
  <c r="C26" i="5" s="1"/>
  <c r="C31" i="4" s="1"/>
  <c r="C23" i="5"/>
  <c r="C17" i="4"/>
  <c r="E333" i="1"/>
  <c r="C331" i="1"/>
  <c r="E331" i="1" s="1"/>
  <c r="D332" i="1" s="1"/>
  <c r="E332" i="1" s="1"/>
  <c r="E329" i="1"/>
  <c r="D330" i="1" s="1"/>
  <c r="E330" i="1" s="1"/>
  <c r="E320" i="1"/>
  <c r="E319" i="1"/>
  <c r="E318" i="1"/>
  <c r="E317" i="1"/>
  <c r="C308" i="1"/>
  <c r="E306" i="1"/>
  <c r="D307" i="1" s="1"/>
  <c r="E307" i="1" s="1"/>
  <c r="D308" i="1" s="1"/>
  <c r="D295" i="1"/>
  <c r="D293" i="1"/>
  <c r="E286" i="1"/>
  <c r="E284" i="1"/>
  <c r="E283" i="1"/>
  <c r="E278" i="1"/>
  <c r="D271" i="1"/>
  <c r="E271" i="1" s="1"/>
  <c r="C264" i="1"/>
  <c r="E260" i="1"/>
  <c r="C273" i="1" s="1"/>
  <c r="C253" i="1"/>
  <c r="C251" i="1"/>
  <c r="E251" i="1" s="1"/>
  <c r="E249" i="1"/>
  <c r="D238" i="1"/>
  <c r="D236" i="1"/>
  <c r="D234" i="1"/>
  <c r="D232" i="1"/>
  <c r="D230" i="1"/>
  <c r="C230" i="1"/>
  <c r="C234" i="1" s="1"/>
  <c r="C218" i="1"/>
  <c r="C219" i="1" s="1"/>
  <c r="E219" i="1" s="1"/>
  <c r="C211" i="1"/>
  <c r="D205" i="1"/>
  <c r="C205" i="1"/>
  <c r="D200" i="1"/>
  <c r="E200" i="1" s="1"/>
  <c r="C191" i="1"/>
  <c r="E187" i="1"/>
  <c r="C186" i="1"/>
  <c r="E182" i="1"/>
  <c r="E172" i="1"/>
  <c r="E170" i="1"/>
  <c r="D169" i="1"/>
  <c r="E169" i="1" s="1"/>
  <c r="D167" i="1"/>
  <c r="E167" i="1" s="1"/>
  <c r="D166" i="1"/>
  <c r="E166" i="1" s="1"/>
  <c r="D165" i="1"/>
  <c r="E165" i="1" s="1"/>
  <c r="E162" i="1"/>
  <c r="E158" i="1"/>
  <c r="E156" i="1"/>
  <c r="E155" i="1"/>
  <c r="E153" i="1"/>
  <c r="E152" i="1"/>
  <c r="E151" i="1"/>
  <c r="E150" i="1"/>
  <c r="E149" i="1"/>
  <c r="E148" i="1"/>
  <c r="E147" i="1"/>
  <c r="E144" i="1"/>
  <c r="E121" i="1"/>
  <c r="C120" i="1"/>
  <c r="E120" i="1" s="1"/>
  <c r="E119" i="1"/>
  <c r="A113" i="1"/>
  <c r="A120" i="1" s="1"/>
  <c r="A112" i="1"/>
  <c r="E81" i="1"/>
  <c r="D73" i="1"/>
  <c r="E73" i="1" s="1"/>
  <c r="E72" i="1"/>
  <c r="E70" i="1"/>
  <c r="E65" i="1"/>
  <c r="D58" i="1"/>
  <c r="E58" i="1" s="1"/>
  <c r="D57" i="1"/>
  <c r="E57" i="1" s="1"/>
  <c r="E56" i="1"/>
  <c r="A46" i="1"/>
  <c r="E40" i="1"/>
  <c r="C113" i="1" s="1"/>
  <c r="A40" i="1"/>
  <c r="E39" i="1"/>
  <c r="C112" i="1" s="1"/>
  <c r="A39" i="1"/>
  <c r="A34" i="1"/>
  <c r="A32" i="1"/>
  <c r="A31" i="1"/>
  <c r="A23" i="1"/>
  <c r="A22" i="1"/>
  <c r="A21" i="1"/>
  <c r="A20" i="1"/>
  <c r="A19" i="1"/>
  <c r="A18" i="1"/>
  <c r="A17" i="1"/>
  <c r="A16" i="1"/>
  <c r="A15" i="1"/>
  <c r="A11" i="1"/>
  <c r="A10" i="1"/>
  <c r="A9" i="1"/>
  <c r="A7" i="1"/>
  <c r="A6" i="1"/>
  <c r="A5" i="1"/>
  <c r="C15" i="17" l="1"/>
  <c r="C14" i="17" s="1"/>
  <c r="C17" i="17" s="1"/>
  <c r="C22" i="17" s="1"/>
  <c r="C24" i="17" s="1"/>
  <c r="D28" i="14"/>
  <c r="C339" i="19"/>
  <c r="C337" i="20"/>
  <c r="E157" i="1"/>
  <c r="F158" i="1" s="1"/>
  <c r="E16" i="14"/>
  <c r="M16" i="14" s="1"/>
  <c r="L16" i="14"/>
  <c r="N16" i="14" s="1"/>
  <c r="L7" i="14"/>
  <c r="C202" i="1"/>
  <c r="C27" i="5"/>
  <c r="C28" i="5" s="1"/>
  <c r="E113" i="1"/>
  <c r="D282" i="1"/>
  <c r="E293" i="1"/>
  <c r="E205" i="1"/>
  <c r="C295" i="1"/>
  <c r="E295" i="1" s="1"/>
  <c r="E43" i="1"/>
  <c r="E234" i="1"/>
  <c r="C232" i="1"/>
  <c r="E232" i="1" s="1"/>
  <c r="C207" i="1"/>
  <c r="C238" i="1"/>
  <c r="E238" i="1" s="1"/>
  <c r="D263" i="1"/>
  <c r="E263" i="1" s="1"/>
  <c r="C274" i="1" s="1"/>
  <c r="D275" i="1" s="1"/>
  <c r="E275" i="1" s="1"/>
  <c r="E276" i="1" s="1"/>
  <c r="D277" i="1" s="1"/>
  <c r="E277" i="1" s="1"/>
  <c r="F278" i="1" s="1"/>
  <c r="E26" i="1" s="1"/>
  <c r="E301" i="1"/>
  <c r="F302" i="1" s="1"/>
  <c r="E29" i="1" s="1"/>
  <c r="D59" i="1"/>
  <c r="E59" i="1" s="1"/>
  <c r="D60" i="1" s="1"/>
  <c r="E60" i="1" s="1"/>
  <c r="E61" i="1" s="1"/>
  <c r="D62" i="1" s="1"/>
  <c r="D239" i="1"/>
  <c r="C244" i="1"/>
  <c r="E244" i="1" s="1"/>
  <c r="E22" i="1" s="1"/>
  <c r="E308" i="1"/>
  <c r="F309" i="1" s="1"/>
  <c r="E30" i="1" s="1"/>
  <c r="F322" i="1"/>
  <c r="F324" i="1" s="1"/>
  <c r="E31" i="1" s="1"/>
  <c r="F333" i="1"/>
  <c r="F335" i="1" s="1"/>
  <c r="E32" i="1" s="1"/>
  <c r="E171" i="1"/>
  <c r="F172" i="1" s="1"/>
  <c r="F121" i="1"/>
  <c r="D74" i="1"/>
  <c r="E74" i="1" s="1"/>
  <c r="D105" i="1"/>
  <c r="E105" i="1" s="1"/>
  <c r="D218" i="1"/>
  <c r="E218" i="1" s="1"/>
  <c r="D252" i="1"/>
  <c r="E252" i="1" s="1"/>
  <c r="D253" i="1" s="1"/>
  <c r="E253" i="1" s="1"/>
  <c r="E23" i="1" s="1"/>
  <c r="C347" i="1"/>
  <c r="E112" i="1"/>
  <c r="C30" i="4"/>
  <c r="D106" i="1"/>
  <c r="E106" i="1" s="1"/>
  <c r="D190" i="1"/>
  <c r="E190" i="1" s="1"/>
  <c r="D191" i="1" s="1"/>
  <c r="E191" i="1" s="1"/>
  <c r="C220" i="1"/>
  <c r="E220" i="1" s="1"/>
  <c r="C33" i="5"/>
  <c r="C27" i="4" s="1"/>
  <c r="D185" i="1"/>
  <c r="E185" i="1" s="1"/>
  <c r="D186" i="1" s="1"/>
  <c r="E186" i="1" s="1"/>
  <c r="E230" i="1"/>
  <c r="C236" i="1"/>
  <c r="E236" i="1" s="1"/>
  <c r="E282" i="1" l="1"/>
  <c r="D285" i="1"/>
  <c r="D76" i="1"/>
  <c r="E76" i="1" s="1"/>
  <c r="E77" i="1" s="1"/>
  <c r="E18" i="14"/>
  <c r="M7" i="14"/>
  <c r="N7" i="14" s="1"/>
  <c r="N18" i="14" s="1"/>
  <c r="N20" i="14" s="1"/>
  <c r="N22" i="14" s="1"/>
  <c r="M18" i="14"/>
  <c r="M20" i="14" s="1"/>
  <c r="C203" i="1"/>
  <c r="D204" i="1" s="1"/>
  <c r="E204" i="1" s="1"/>
  <c r="F115" i="1"/>
  <c r="E10" i="1" s="1"/>
  <c r="E28" i="1"/>
  <c r="F174" i="1"/>
  <c r="E15" i="1" s="1"/>
  <c r="D264" i="1"/>
  <c r="E264" i="1" s="1"/>
  <c r="E265" i="1" s="1"/>
  <c r="D266" i="1" s="1"/>
  <c r="E266" i="1" s="1"/>
  <c r="E25" i="1" s="1"/>
  <c r="F108" i="1"/>
  <c r="E9" i="1" s="1"/>
  <c r="E21" i="1"/>
  <c r="E192" i="1"/>
  <c r="D193" i="1" s="1"/>
  <c r="E193" i="1" s="1"/>
  <c r="F194" i="1" s="1"/>
  <c r="C28" i="4"/>
  <c r="C29" i="4" s="1"/>
  <c r="C19" i="4"/>
  <c r="C25" i="4" s="1"/>
  <c r="C34" i="4" s="1"/>
  <c r="C208" i="1"/>
  <c r="D209" i="1" s="1"/>
  <c r="E209" i="1" s="1"/>
  <c r="C35" i="4"/>
  <c r="D221" i="1"/>
  <c r="E221" i="1" s="1"/>
  <c r="E20" i="1" s="1"/>
  <c r="E11" i="1"/>
  <c r="E285" i="1" l="1"/>
  <c r="F286" i="1" s="1"/>
  <c r="E27" i="1" s="1"/>
  <c r="E24" i="1" s="1"/>
  <c r="E210" i="1"/>
  <c r="D211" i="1" s="1"/>
  <c r="E211" i="1" s="1"/>
  <c r="C36" i="4"/>
  <c r="D78" i="1"/>
  <c r="C32" i="4"/>
  <c r="C37" i="4" s="1"/>
  <c r="E18" i="1"/>
  <c r="C61" i="19" l="1"/>
  <c r="E61" i="19" s="1"/>
  <c r="E62" i="19" s="1"/>
  <c r="D63" i="19" s="1"/>
  <c r="E63" i="19" s="1"/>
  <c r="F64" i="19" s="1"/>
  <c r="E6" i="19" s="1"/>
  <c r="C76" i="19"/>
  <c r="E76" i="19" s="1"/>
  <c r="E77" i="19" s="1"/>
  <c r="D78" i="19" s="1"/>
  <c r="E78" i="19" s="1"/>
  <c r="F79" i="19" s="1"/>
  <c r="C95" i="20"/>
  <c r="E95" i="20" s="1"/>
  <c r="E96" i="20" s="1"/>
  <c r="D97" i="20" s="1"/>
  <c r="C62" i="20"/>
  <c r="E62" i="20" s="1"/>
  <c r="E63" i="20" s="1"/>
  <c r="D64" i="20" s="1"/>
  <c r="E64" i="20" s="1"/>
  <c r="F65" i="20" s="1"/>
  <c r="E6" i="20" s="1"/>
  <c r="C92" i="19"/>
  <c r="E92" i="19" s="1"/>
  <c r="E93" i="19" s="1"/>
  <c r="D94" i="19" s="1"/>
  <c r="E94" i="19" s="1"/>
  <c r="F95" i="19" s="1"/>
  <c r="E8" i="19" s="1"/>
  <c r="C95" i="1"/>
  <c r="E95" i="1" s="1"/>
  <c r="E96" i="1" s="1"/>
  <c r="D97" i="1" s="1"/>
  <c r="E97" i="1" s="1"/>
  <c r="F98" i="1" s="1"/>
  <c r="C78" i="20"/>
  <c r="E78" i="20" s="1"/>
  <c r="E79" i="20" s="1"/>
  <c r="D80" i="20" s="1"/>
  <c r="E80" i="20" s="1"/>
  <c r="F81" i="20" s="1"/>
  <c r="D355" i="1"/>
  <c r="E28" i="14"/>
  <c r="C15" i="16"/>
  <c r="C14" i="16" s="1"/>
  <c r="C17" i="16" s="1"/>
  <c r="C22" i="16" s="1"/>
  <c r="C24" i="16" s="1"/>
  <c r="E19" i="1"/>
  <c r="E17" i="1" s="1"/>
  <c r="F214" i="1"/>
  <c r="C78" i="1"/>
  <c r="E78" i="1" s="1"/>
  <c r="E79" i="1" s="1"/>
  <c r="D80" i="1" s="1"/>
  <c r="E80" i="1" s="1"/>
  <c r="F81" i="1" s="1"/>
  <c r="C62" i="1"/>
  <c r="E62" i="1" s="1"/>
  <c r="E63" i="1" s="1"/>
  <c r="D64" i="1" s="1"/>
  <c r="E64" i="1" s="1"/>
  <c r="F65" i="1" s="1"/>
  <c r="E6" i="1" s="1"/>
  <c r="E7" i="20" l="1"/>
  <c r="F136" i="20"/>
  <c r="F134" i="19"/>
  <c r="E5" i="19" s="1"/>
  <c r="E7" i="19"/>
  <c r="F312" i="1"/>
  <c r="E16" i="1" s="1"/>
  <c r="E7" i="1"/>
  <c r="F332" i="20" l="1"/>
  <c r="E5" i="20"/>
  <c r="F334" i="19"/>
  <c r="E5" i="1"/>
  <c r="D339" i="19" l="1"/>
  <c r="E339" i="19" s="1"/>
  <c r="F340" i="19" s="1"/>
  <c r="F342" i="19" s="1"/>
  <c r="E34" i="19" s="1"/>
  <c r="D337" i="20"/>
  <c r="E337" i="20" s="1"/>
  <c r="F338" i="20" s="1"/>
  <c r="F340" i="20" s="1"/>
  <c r="E33" i="20" s="1"/>
  <c r="C6" i="13"/>
  <c r="D347" i="1"/>
  <c r="E347" i="1" s="1"/>
  <c r="F348" i="1" s="1"/>
  <c r="F350" i="1" s="1"/>
  <c r="E34" i="1" s="1"/>
  <c r="E35" i="1" s="1"/>
  <c r="F343" i="20" l="1"/>
  <c r="F349" i="20"/>
  <c r="F345" i="19"/>
  <c r="E34" i="20"/>
  <c r="F33" i="20" s="1"/>
  <c r="F12" i="19"/>
  <c r="F33" i="1"/>
  <c r="F14" i="1"/>
  <c r="F13" i="1"/>
  <c r="F12" i="1"/>
  <c r="C2" i="13"/>
  <c r="C9" i="13" s="1"/>
  <c r="F8" i="1"/>
  <c r="D25" i="13"/>
  <c r="D33" i="13"/>
  <c r="D35" i="13"/>
  <c r="D9" i="13"/>
  <c r="D31" i="13"/>
  <c r="D13" i="13"/>
  <c r="D29" i="13"/>
  <c r="D11" i="13"/>
  <c r="D19" i="13"/>
  <c r="D27" i="13"/>
  <c r="D17" i="13"/>
  <c r="D23" i="13"/>
  <c r="F29" i="1"/>
  <c r="F30" i="1"/>
  <c r="F26" i="1"/>
  <c r="F27" i="1"/>
  <c r="F31" i="1"/>
  <c r="F22" i="1"/>
  <c r="F32" i="1"/>
  <c r="F23" i="1"/>
  <c r="F10" i="1"/>
  <c r="F28" i="1"/>
  <c r="F25" i="1"/>
  <c r="F15" i="1"/>
  <c r="F24" i="1"/>
  <c r="F21" i="1"/>
  <c r="F11" i="1"/>
  <c r="F19" i="1"/>
  <c r="F20" i="1"/>
  <c r="F9" i="1"/>
  <c r="F16" i="1"/>
  <c r="F18" i="1"/>
  <c r="F17" i="1"/>
  <c r="F6" i="1"/>
  <c r="F7" i="1"/>
  <c r="F5" i="1"/>
  <c r="F34" i="1"/>
  <c r="C4" i="13"/>
  <c r="H343" i="20" l="1"/>
  <c r="F345" i="20"/>
  <c r="F18" i="19"/>
  <c r="F31" i="19"/>
  <c r="F20" i="19"/>
  <c r="F28" i="19"/>
  <c r="F14" i="19"/>
  <c r="F25" i="19"/>
  <c r="F13" i="19"/>
  <c r="F24" i="19"/>
  <c r="F23" i="19"/>
  <c r="F22" i="19"/>
  <c r="F9" i="19"/>
  <c r="F11" i="19"/>
  <c r="F16" i="19"/>
  <c r="F10" i="19"/>
  <c r="F27" i="19"/>
  <c r="F15" i="19"/>
  <c r="F19" i="19"/>
  <c r="F6" i="19"/>
  <c r="F26" i="19"/>
  <c r="F8" i="19"/>
  <c r="F30" i="19"/>
  <c r="F32" i="19"/>
  <c r="F17" i="19"/>
  <c r="F29" i="19"/>
  <c r="F21" i="19"/>
  <c r="F7" i="19"/>
  <c r="F5" i="19"/>
  <c r="F34" i="19"/>
  <c r="F349" i="19"/>
  <c r="H345" i="19"/>
  <c r="F20" i="20"/>
  <c r="F6" i="20"/>
  <c r="F12" i="20"/>
  <c r="F9" i="20"/>
  <c r="F18" i="20"/>
  <c r="F16" i="20"/>
  <c r="F29" i="20"/>
  <c r="F32" i="20"/>
  <c r="F22" i="20"/>
  <c r="F17" i="20"/>
  <c r="F23" i="20"/>
  <c r="F26" i="20"/>
  <c r="F31" i="20"/>
  <c r="F30" i="20"/>
  <c r="F14" i="20"/>
  <c r="F19" i="20"/>
  <c r="F10" i="20"/>
  <c r="F28" i="20"/>
  <c r="F25" i="20"/>
  <c r="F27" i="20"/>
  <c r="F21" i="20"/>
  <c r="F24" i="20"/>
  <c r="F8" i="20"/>
  <c r="F13" i="20"/>
  <c r="F11" i="20"/>
  <c r="F15" i="20"/>
  <c r="F7" i="20"/>
  <c r="F5" i="20"/>
  <c r="D37" i="13"/>
  <c r="C11" i="13"/>
  <c r="E11" i="13" s="1"/>
  <c r="C27" i="13"/>
  <c r="E27" i="13" s="1"/>
  <c r="C23" i="13"/>
  <c r="E23" i="13" s="1"/>
  <c r="C29" i="13"/>
  <c r="E29" i="13" s="1"/>
  <c r="C35" i="13"/>
  <c r="E35" i="13" s="1"/>
  <c r="C25" i="13"/>
  <c r="E25" i="13" s="1"/>
  <c r="C13" i="13"/>
  <c r="E13" i="13" s="1"/>
  <c r="C31" i="13"/>
  <c r="E31" i="13" s="1"/>
  <c r="C33" i="13"/>
  <c r="E33" i="13" s="1"/>
  <c r="F357" i="1"/>
  <c r="E9" i="13"/>
  <c r="F35" i="1"/>
  <c r="F35" i="19" l="1"/>
  <c r="F34" i="20"/>
  <c r="C15" i="13"/>
  <c r="C21" i="13"/>
  <c r="E21" i="13" s="1"/>
  <c r="F23" i="13" s="1"/>
  <c r="C19" i="13"/>
  <c r="E19" i="13" s="1"/>
  <c r="C17" i="13"/>
  <c r="E17" i="13" s="1"/>
  <c r="E15" i="13" l="1"/>
  <c r="C37" i="13"/>
  <c r="E37" i="13" l="1"/>
  <c r="F1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" authorId="0" shapeId="0" xr:uid="{00000000-0006-0000-0000-000001000000}">
      <text/>
    </comment>
    <comment ref="B50" authorId="0" shapeId="0" xr:uid="{00000000-0006-0000-0000-000002000000}">
      <text>
        <r>
          <rPr>
            <b/>
            <sz val="9"/>
            <color rgb="FF000000"/>
            <rFont val="Arial"/>
            <family val="2"/>
          </rPr>
          <t>Informar o fator de utilização das equipes de coleta.</t>
        </r>
        <r>
          <rPr>
            <b/>
            <sz val="9"/>
            <color rgb="FF000000"/>
            <rFont val="Arial"/>
            <family val="2"/>
          </rPr>
          <t xml:space="preserve">
Por exemplo:</t>
        </r>
        <r>
          <rPr>
            <b/>
            <sz val="9"/>
            <color rgb="FF000000"/>
            <rFont val="Arial"/>
            <family val="2"/>
          </rPr>
          <t xml:space="preserve">
Equipes com utilização integral = 100%</t>
        </r>
        <r>
          <rPr>
            <b/>
            <sz val="9"/>
            <color rgb="FF000000"/>
            <rFont val="Arial"/>
            <family val="2"/>
          </rPr>
          <t xml:space="preserve">
Equipes com utilização parcial = n° horas trabalhadas por semana /44 horas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56" authorId="0" shapeId="0" xr:uid="{00000000-0006-0000-0000-000003000000}">
      <text>
        <r>
          <rPr>
            <sz val="9"/>
            <color rgb="FF000000"/>
            <rFont val="Arial"/>
            <family val="2"/>
          </rPr>
          <t>Informar o Piso da categoria fixado na Convenção Coletiva</t>
        </r>
      </text>
    </comment>
    <comment ref="A59" authorId="0" shapeId="0" xr:uid="{00000000-0006-0000-0000-000004000000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62" authorId="0" shapeId="0" xr:uid="{00000000-0006-0000-0000-000005000000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64" authorId="0" shapeId="0" xr:uid="{00000000-0006-0000-0000-000006000000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D70" authorId="0" shapeId="0" xr:uid="{00000000-0006-0000-0000-00000D000000}">
      <text>
        <r>
          <rPr>
            <sz val="9"/>
            <color rgb="FF000000"/>
            <rFont val="Arial"/>
            <family val="2"/>
          </rPr>
          <t>Informar o Piso da categoria fixado na Convenção Coletiva</t>
        </r>
      </text>
    </comment>
    <comment ref="D71" authorId="0" shapeId="0" xr:uid="{00000000-0006-0000-0000-00000E000000}">
      <text>
        <r>
          <rPr>
            <sz val="9"/>
            <color rgb="FF000000"/>
            <rFont val="Arial"/>
            <family val="2"/>
          </rPr>
          <t>Informar o valor do salário Mínimo Nacional</t>
        </r>
      </text>
    </comment>
    <comment ref="C72" authorId="0" shapeId="0" xr:uid="{00000000-0006-0000-0000-00000F000000}">
      <text>
        <r>
          <rPr>
            <sz val="9"/>
            <color rgb="FF000000"/>
            <rFont val="Arial"/>
            <family val="2"/>
          </rPr>
          <t>Informar o número de horas extras trabalhadas em horário diurno nos domingos e feriados</t>
        </r>
      </text>
    </comment>
    <comment ref="C73" authorId="0" shapeId="0" xr:uid="{00000000-0006-0000-0000-000010000000}">
      <text>
        <r>
          <rPr>
            <sz val="9"/>
            <color rgb="FF000000"/>
            <rFont val="Arial"/>
            <family val="2"/>
          </rPr>
          <t>Informar o número de horas extras trabalhadas em horário diurno de segunda a sábado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A74" authorId="0" shapeId="0" xr:uid="{00000000-0006-0000-0000-000011000000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75" authorId="0" shapeId="0" xr:uid="{00000000-0006-0000-0000-000012000000}">
      <text>
        <r>
          <rPr>
            <sz val="9"/>
            <color rgb="FF000000"/>
            <rFont val="Arial"/>
            <family val="2"/>
          </rPr>
          <t>Informar 1 se a base de cálculo for o Salário Mínimo Nacional; Informar 2 se a base de cálculo for o Piso da Categoria;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76" authorId="0" shapeId="0" xr:uid="{00000000-0006-0000-0000-000013000000}">
      <text>
        <r>
          <rPr>
            <sz val="9"/>
            <color rgb="FF000000"/>
            <rFont val="Arial"/>
            <family val="2"/>
          </rPr>
          <t>Percentual estabelecido nas Normas de Segurança de Trabalho ou pelo laudo de responsável técnico devidamente habilitado</t>
        </r>
      </text>
    </comment>
    <comment ref="C78" authorId="0" shapeId="0" xr:uid="{00000000-0006-0000-0000-000014000000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80" authorId="0" shapeId="0" xr:uid="{00000000-0006-0000-0000-000015000000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C87" authorId="0" shapeId="0" xr:uid="{6D717ABE-4723-43C6-BD29-250651844316}">
      <text>
        <r>
          <rPr>
            <sz val="9"/>
            <color rgb="FF000000"/>
            <rFont val="Arial"/>
            <family val="2"/>
          </rPr>
          <t>Informar o número de horas noturnas trabalhadas no intervalo das 22:00h as 5:00h</t>
        </r>
      </text>
    </comment>
    <comment ref="C89" authorId="0" shapeId="0" xr:uid="{2BCBF08D-53D2-4485-A36B-CF321489593E}">
      <text>
        <r>
          <rPr>
            <sz val="9"/>
            <color rgb="FF000000"/>
            <rFont val="Arial"/>
            <family val="2"/>
          </rPr>
          <t>Informar o número de horas extras trabalhadas em horário noturno nos domingos e feriados</t>
        </r>
      </text>
    </comment>
    <comment ref="C90" authorId="0" shapeId="0" xr:uid="{A09ACA54-086C-40B6-BAF7-1482CBE69365}">
      <text>
        <r>
          <rPr>
            <sz val="9"/>
            <color rgb="FF000000"/>
            <rFont val="Arial"/>
            <family val="2"/>
          </rPr>
          <t>Informar o número de horas extras trabalhadas em horário noturno de segunda à sábado</t>
        </r>
      </text>
    </comment>
    <comment ref="A91" authorId="0" shapeId="0" xr:uid="{7AC59C61-11AF-43D9-8F96-1842E0476201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92" authorId="0" shapeId="0" xr:uid="{906C4C51-777E-4696-A085-6151EB002FEF}">
      <text>
        <r>
          <rPr>
            <sz val="9"/>
            <color rgb="FF000000"/>
            <rFont val="Arial"/>
            <family val="2"/>
          </rPr>
          <t>Informar 1 se a base de cálculo for o Salário Mínimo Nacional; Informar 2 se a base de cálculo for o Piso da Categoria;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95" authorId="0" shapeId="0" xr:uid="{E05B2BD2-210A-49C8-B024-B6FFE8AB7171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97" authorId="0" shapeId="0" xr:uid="{5CD18B43-F25E-4717-99F6-A9AF2CF7BF84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D103" authorId="0" shapeId="0" xr:uid="{00000000-0006-0000-0000-000028000000}">
      <text>
        <r>
          <rPr>
            <sz val="9"/>
            <color rgb="FF000000"/>
            <rFont val="Arial"/>
            <family val="2"/>
          </rPr>
          <t>Informar o valor unitário do VT no município</t>
        </r>
      </text>
    </comment>
    <comment ref="C104" authorId="0" shapeId="0" xr:uid="{00000000-0006-0000-0000-000029000000}">
      <text>
        <r>
          <rPr>
            <sz val="9"/>
            <color rgb="FF000000"/>
            <rFont val="Arial"/>
            <family val="2"/>
          </rPr>
          <t>Informar o número médio de dias trabalhados por mês</t>
        </r>
      </text>
    </comment>
    <comment ref="D105" authorId="0" shapeId="0" xr:uid="{00000000-0006-0000-0000-00002A000000}">
      <text>
        <r>
          <rPr>
            <sz val="9"/>
            <color rgb="FF000000"/>
            <rFont val="Arial"/>
            <family val="2"/>
          </rPr>
          <t>Valor Unitário considerando o desconto legal de até 6% do salário</t>
        </r>
      </text>
    </comment>
    <comment ref="D106" authorId="0" shapeId="0" xr:uid="{00000000-0006-0000-0000-00002B000000}">
      <text>
        <r>
          <rPr>
            <sz val="9"/>
            <color rgb="FF000000"/>
            <rFont val="Arial"/>
            <family val="2"/>
          </rPr>
          <t>Valor Unitário considerando o desconto legal de até 6% do salário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12" authorId="0" shapeId="0" xr:uid="{00000000-0006-0000-0000-00002C000000}">
      <text>
        <r>
          <rPr>
            <sz val="9"/>
            <color rgb="FF000000"/>
            <rFont val="Arial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13" authorId="0" shapeId="0" xr:uid="{00000000-0006-0000-0000-00002D000000}">
      <text>
        <r>
          <rPr>
            <sz val="9"/>
            <color rgb="FF000000"/>
            <rFont val="Arial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19" authorId="0" shapeId="0" xr:uid="{FD90386A-57AF-4CDA-B686-6B20E759F07E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D120" authorId="0" shapeId="0" xr:uid="{00000000-0006-0000-0000-00002F000000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D135" authorId="0" shapeId="0" xr:uid="{73774675-D2A7-492C-B0D1-17D97B16726E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C144" authorId="0" shapeId="0" xr:uid="{00000000-0006-0000-0000-000030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4" authorId="0" shapeId="0" xr:uid="{00000000-0006-0000-0000-000031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7" authorId="0" shapeId="0" xr:uid="{00000000-0006-0000-0000-000032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7" authorId="0" shapeId="0" xr:uid="{00000000-0006-0000-0000-000033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8" authorId="0" shapeId="0" xr:uid="{00000000-0006-0000-0000-000034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8" authorId="0" shapeId="0" xr:uid="{00000000-0006-0000-0000-000035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9" authorId="0" shapeId="0" xr:uid="{00000000-0006-0000-0000-000036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9" authorId="0" shapeId="0" xr:uid="{00000000-0006-0000-0000-000037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50" authorId="0" shapeId="0" xr:uid="{00000000-0006-0000-0000-000038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50" authorId="0" shapeId="0" xr:uid="{00000000-0006-0000-0000-000039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51" authorId="0" shapeId="0" xr:uid="{00000000-0006-0000-0000-00003A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51" authorId="0" shapeId="0" xr:uid="{00000000-0006-0000-0000-00003B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52" authorId="0" shapeId="0" xr:uid="{00000000-0006-0000-0000-00003C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52" authorId="0" shapeId="0" xr:uid="{00000000-0006-0000-0000-00003D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53" authorId="0" shapeId="0" xr:uid="{00000000-0006-0000-0000-00003E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53" authorId="0" shapeId="0" xr:uid="{00000000-0006-0000-0000-00003F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55" authorId="0" shapeId="0" xr:uid="{00000000-0006-0000-0000-000040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55" authorId="0" shapeId="0" xr:uid="{00000000-0006-0000-0000-00004100000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D156" authorId="0" shapeId="0" xr:uid="{00000000-0006-0000-0000-000042000000}">
      <text>
        <r>
          <rPr>
            <sz val="9"/>
            <color rgb="FF000000"/>
            <rFont val="Arial"/>
            <family val="2"/>
          </rPr>
          <t>Informar o valor mensal de higienização de uniforme para 1 funcionário</t>
        </r>
      </text>
    </comment>
    <comment ref="C162" authorId="0" shapeId="0" xr:uid="{00000000-0006-0000-0000-000043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5" authorId="0" shapeId="0" xr:uid="{00000000-0006-0000-0000-000044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6" authorId="0" shapeId="0" xr:uid="{00000000-0006-0000-0000-000045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7" authorId="0" shapeId="0" xr:uid="{00000000-0006-0000-0000-000046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9" authorId="0" shapeId="0" xr:uid="{00000000-0006-0000-0000-00004700000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82" authorId="0" shapeId="0" xr:uid="{00000000-0006-0000-0000-000048000000}">
      <text>
        <r>
          <rPr>
            <sz val="9"/>
            <color rgb="FF000000"/>
            <rFont val="Arial"/>
            <family val="2"/>
          </rPr>
          <t>Informar o preço unitário do chassis do caminhão de coleta</t>
        </r>
      </text>
    </comment>
    <comment ref="C183" authorId="0" shapeId="0" xr:uid="{00000000-0006-0000-0000-000049000000}">
      <text>
        <r>
          <rPr>
            <sz val="9"/>
            <color rgb="FF000000"/>
            <rFont val="Arial"/>
            <family val="2"/>
          </rPr>
          <t>Informar a vida útil estimada para o caminhão, em anos</t>
        </r>
      </text>
    </comment>
    <comment ref="C184" authorId="0" shapeId="0" xr:uid="{00000000-0006-0000-0000-00004A000000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veículo proposto.</t>
        </r>
      </text>
    </comment>
    <comment ref="C185" authorId="0" shapeId="0" xr:uid="{00000000-0006-0000-0000-00004B000000}">
      <text>
        <r>
          <rPr>
            <b/>
            <sz val="9"/>
            <color rgb="FF000000"/>
            <rFont val="Arial"/>
            <family val="2"/>
          </rPr>
          <t>Informar o valor da depreciação do caminhão,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87" authorId="0" shapeId="0" xr:uid="{00000000-0006-0000-0000-00004C000000}">
      <text>
        <r>
          <rPr>
            <sz val="9"/>
            <color rgb="FF000000"/>
            <rFont val="Arial"/>
            <family val="2"/>
          </rPr>
          <t>Informar o preço unitário do equipamento compactador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88" authorId="0" shapeId="0" xr:uid="{00000000-0006-0000-0000-00004D000000}">
      <text>
        <r>
          <rPr>
            <sz val="9"/>
            <color rgb="FF000000"/>
            <rFont val="Arial"/>
            <family val="2"/>
          </rPr>
          <t>Informar a vida útil estimada para o compactador, em anos</t>
        </r>
      </text>
    </comment>
    <comment ref="C189" authorId="0" shapeId="0" xr:uid="{00000000-0006-0000-0000-00004E000000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compactador proposto.</t>
        </r>
      </text>
    </comment>
    <comment ref="C190" authorId="0" shapeId="0" xr:uid="{00000000-0006-0000-0000-00004F000000}">
      <text>
        <r>
          <rPr>
            <b/>
            <sz val="9"/>
            <color rgb="FF000000"/>
            <rFont val="Arial"/>
            <family val="2"/>
          </rPr>
          <t>Informar o valor da depreciação do compactador,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193" authorId="0" shapeId="0" xr:uid="{00000000-0006-0000-0000-000050000000}">
      <text>
        <r>
          <rPr>
            <sz val="9"/>
            <color rgb="FF000000"/>
            <rFont val="Arial"/>
            <family val="2"/>
          </rPr>
          <t>Informar a quantidade de caminhões compactadores do respectivo modelo</t>
        </r>
      </text>
    </comment>
    <comment ref="C201" authorId="0" shapeId="0" xr:uid="{00000000-0006-0000-0000-000051000000}">
      <text>
        <r>
          <rPr>
            <b/>
            <sz val="9"/>
            <color rgb="FF000000"/>
            <rFont val="Arial"/>
            <family val="2"/>
          </rPr>
          <t>Informar a taxa de juros anual para remuneração do capital. Recomenda-se o uso da Taxa SELIC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19" authorId="0" shapeId="0" xr:uid="{00000000-0006-0000-0000-000052000000}">
      <text>
        <r>
          <rPr>
            <sz val="9"/>
            <color rgb="FF000000"/>
            <rFont val="Arial"/>
            <family val="2"/>
          </rPr>
          <t>Informar o valor do seguro obrigatório e licenciamento anual de um caminhão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20" authorId="0" shapeId="0" xr:uid="{00000000-0006-0000-0000-000053000000}">
      <text>
        <r>
          <rPr>
            <sz val="9"/>
            <color rgb="FF000000"/>
            <rFont val="Arial"/>
            <family val="2"/>
          </rPr>
          <t>Informar o valor do seguro contra terceiros de um caminhão, se houver previsão no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B226" authorId="0" shapeId="0" xr:uid="{00000000-0006-0000-0000-000054000000}">
      <text>
        <r>
          <rPr>
            <sz val="9"/>
            <color rgb="FF000000"/>
            <rFont val="Arial"/>
            <family val="2"/>
          </rPr>
          <t>Informar a quilometragem mensal percorrida, de acordo com 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29" authorId="0" shapeId="0" xr:uid="{00000000-0006-0000-0000-000055000000}">
      <text>
        <r>
          <rPr>
            <sz val="9"/>
            <color rgb="FF000000"/>
            <rFont val="Arial"/>
            <family val="2"/>
          </rPr>
          <t>Informar o consumo estimado do veículo em km/l</t>
        </r>
      </text>
    </comment>
    <comment ref="D229" authorId="0" shapeId="0" xr:uid="{00000000-0006-0000-0000-000056000000}">
      <text>
        <r>
          <rPr>
            <sz val="9"/>
            <color rgb="FF000000"/>
            <rFont val="Arial"/>
            <family val="2"/>
          </rPr>
          <t>Informar o preço unitário do combustivel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31" authorId="0" shapeId="0" xr:uid="{00000000-0006-0000-0000-000057000000}">
      <text>
        <r>
          <rPr>
            <sz val="9"/>
            <color rgb="FF000000"/>
            <rFont val="Arial"/>
            <family val="2"/>
          </rPr>
          <t>Informar o consumo de óleo do motor a cada 1000km</t>
        </r>
      </text>
    </comment>
    <comment ref="C233" authorId="0" shapeId="0" xr:uid="{00000000-0006-0000-0000-000058000000}">
      <text>
        <r>
          <rPr>
            <sz val="9"/>
            <color rgb="FF000000"/>
            <rFont val="Arial"/>
            <family val="2"/>
          </rPr>
          <t>Informar o consumo de óleo da transmissão a cada 1000km</t>
        </r>
      </text>
    </comment>
    <comment ref="D233" authorId="0" shapeId="0" xr:uid="{00000000-0006-0000-0000-000059000000}">
      <text>
        <r>
          <rPr>
            <sz val="9"/>
            <color rgb="FF000000"/>
            <rFont val="Arial"/>
            <family val="2"/>
          </rPr>
          <t>Informar o preço unitário do litro do óleo da transmissão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35" authorId="0" shapeId="0" xr:uid="{00000000-0006-0000-0000-00005A000000}">
      <text>
        <r>
          <rPr>
            <sz val="9"/>
            <color rgb="FF000000"/>
            <rFont val="Arial"/>
            <family val="2"/>
          </rPr>
          <t>Informar o consumo de óleo hidráulico a cada 1000km</t>
        </r>
      </text>
    </comment>
    <comment ref="D235" authorId="0" shapeId="0" xr:uid="{00000000-0006-0000-0000-00005B000000}">
      <text>
        <r>
          <rPr>
            <sz val="9"/>
            <color rgb="FF000000"/>
            <rFont val="Arial"/>
            <family val="2"/>
          </rPr>
          <t>Informar o preço unitário do litro do óleo hidráulico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37" authorId="0" shapeId="0" xr:uid="{00000000-0006-0000-0000-00005C000000}">
      <text>
        <r>
          <rPr>
            <sz val="9"/>
            <color rgb="FF000000"/>
            <rFont val="Arial"/>
            <family val="2"/>
          </rPr>
          <t>Informar o consumo de graxa a cada 1000km</t>
        </r>
      </text>
    </comment>
    <comment ref="D237" authorId="0" shapeId="0" xr:uid="{00000000-0006-0000-0000-00005D000000}">
      <text>
        <r>
          <rPr>
            <sz val="9"/>
            <color rgb="FF000000"/>
            <rFont val="Arial"/>
            <family val="2"/>
          </rPr>
          <t>Informar o preço unitário do litro da graxa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49" authorId="0" shapeId="0" xr:uid="{00000000-0006-0000-0000-00005E000000}">
      <text>
        <r>
          <rPr>
            <sz val="9"/>
            <color rgb="FF000000"/>
            <rFont val="Arial"/>
            <family val="2"/>
          </rPr>
          <t>Informar a quantidade de pneus novos de 1 caminhão</t>
        </r>
      </text>
    </comment>
    <comment ref="C250" authorId="0" shapeId="0" xr:uid="{00000000-0006-0000-0000-00005F000000}">
      <text>
        <r>
          <rPr>
            <sz val="9"/>
            <color rgb="FF000000"/>
            <rFont val="Arial"/>
            <family val="2"/>
          </rPr>
          <t>Informar o número de recapagens por pneu</t>
        </r>
      </text>
    </comment>
    <comment ref="C252" authorId="0" shapeId="0" xr:uid="{00000000-0006-0000-0000-000060000000}">
      <text>
        <r>
          <rPr>
            <sz val="9"/>
            <color rgb="FF000000"/>
            <rFont val="Arial"/>
            <family val="2"/>
          </rPr>
          <t>Informar a durabilidade média dos pneus considerando todas as recapagens, em km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60" authorId="0" shapeId="0" xr:uid="{00000000-0006-0000-0000-000061000000}">
      <text>
        <r>
          <rPr>
            <sz val="9"/>
            <color rgb="FF000000"/>
            <rFont val="Arial"/>
            <family val="2"/>
          </rPr>
          <t>Informar o preço unitário do chassis do caminhão de coleta</t>
        </r>
      </text>
    </comment>
    <comment ref="C261" authorId="0" shapeId="0" xr:uid="{00000000-0006-0000-0000-000062000000}">
      <text>
        <r>
          <rPr>
            <sz val="9"/>
            <color rgb="FF000000"/>
            <rFont val="Arial"/>
            <family val="2"/>
          </rPr>
          <t>Informar a vida útil estimada para o caminhão, em anos</t>
        </r>
      </text>
    </comment>
    <comment ref="C262" authorId="0" shapeId="0" xr:uid="{00000000-0006-0000-0000-000063000000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veículo proposto.</t>
        </r>
      </text>
    </comment>
    <comment ref="C263" authorId="0" shapeId="0" xr:uid="{00000000-0006-0000-0000-000064000000}">
      <text>
        <r>
          <rPr>
            <b/>
            <sz val="9"/>
            <color rgb="FF000000"/>
            <rFont val="Arial"/>
            <family val="2"/>
          </rPr>
          <t>Informar o valor da depreciação do caminhão,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266" authorId="0" shapeId="0" xr:uid="{00000000-0006-0000-0000-000065000000}">
      <text>
        <r>
          <rPr>
            <sz val="9"/>
            <color rgb="FF000000"/>
            <rFont val="Arial"/>
            <family val="2"/>
          </rPr>
          <t>Informar a quantidade de caminhões compactadores do respectivo modelo</t>
        </r>
      </text>
    </comment>
    <comment ref="C272" authorId="0" shapeId="0" xr:uid="{00000000-0006-0000-0000-000066000000}">
      <text>
        <r>
          <rPr>
            <b/>
            <sz val="9"/>
            <color rgb="FF000000"/>
            <rFont val="Arial"/>
            <family val="2"/>
          </rPr>
          <t>Informar a taxa de juros anual para remuneração do capital. Recomenda-se o uso da Taxa SELIC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83" authorId="0" shapeId="0" xr:uid="{00000000-0006-0000-0000-000067000000}">
      <text>
        <r>
          <rPr>
            <sz val="9"/>
            <color rgb="FF000000"/>
            <rFont val="Arial"/>
            <family val="2"/>
          </rPr>
          <t>Informar o valor do seguro obrigatório e licenciamento anual de um caminhão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84" authorId="0" shapeId="0" xr:uid="{00000000-0006-0000-0000-000068000000}">
      <text>
        <r>
          <rPr>
            <sz val="9"/>
            <color rgb="FF000000"/>
            <rFont val="Arial"/>
            <family val="2"/>
          </rPr>
          <t>Informar o valor do seguro contra terceiros de um caminhão, se houver previsão no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B289" authorId="0" shapeId="0" xr:uid="{00000000-0006-0000-0000-000069000000}">
      <text>
        <r>
          <rPr>
            <sz val="9"/>
            <color rgb="FF000000"/>
            <rFont val="Arial"/>
            <family val="2"/>
          </rPr>
          <t>Informar a quilometragem mensal percorrida, de acordo com 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92" authorId="0" shapeId="0" xr:uid="{00000000-0006-0000-0000-00006A000000}">
      <text>
        <r>
          <rPr>
            <sz val="9"/>
            <color rgb="FF000000"/>
            <rFont val="Arial"/>
            <family val="2"/>
          </rPr>
          <t>Informar o consumo estimado do veículo em km/l</t>
        </r>
      </text>
    </comment>
    <comment ref="D292" authorId="0" shapeId="0" xr:uid="{00000000-0006-0000-0000-00006B000000}">
      <text>
        <r>
          <rPr>
            <sz val="9"/>
            <color rgb="FF000000"/>
            <rFont val="Arial"/>
            <family val="2"/>
          </rPr>
          <t>Informar o preço unitário do combustivel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94" authorId="0" shapeId="0" xr:uid="{00000000-0006-0000-0000-00006C000000}">
      <text>
        <r>
          <rPr>
            <sz val="9"/>
            <color rgb="FF000000"/>
            <rFont val="Arial"/>
            <family val="2"/>
          </rPr>
          <t>Informar o consumo de óleo do motor a cada 1000km</t>
        </r>
      </text>
    </comment>
    <comment ref="C306" authorId="0" shapeId="0" xr:uid="{00000000-0006-0000-0000-00006D000000}">
      <text>
        <r>
          <rPr>
            <sz val="9"/>
            <color rgb="FF000000"/>
            <rFont val="Arial"/>
            <family val="2"/>
          </rPr>
          <t>Informar a quantidade de pneus novos de 1 caminhão</t>
        </r>
      </text>
    </comment>
    <comment ref="C307" authorId="0" shapeId="0" xr:uid="{00000000-0006-0000-0000-00006E000000}">
      <text>
        <r>
          <rPr>
            <sz val="9"/>
            <color rgb="FF000000"/>
            <rFont val="Arial"/>
            <family val="2"/>
          </rPr>
          <t>Informar a durabilidade média dos pneus considerando todas as recapagens, em km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317" authorId="0" shapeId="0" xr:uid="{00000000-0006-0000-0000-00006F000000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7" authorId="0" shapeId="0" xr:uid="{00000000-0006-0000-0000-000070000000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18" authorId="0" shapeId="0" xr:uid="{00000000-0006-0000-0000-000071000000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8" authorId="0" shapeId="0" xr:uid="{00000000-0006-0000-0000-000072000000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19" authorId="0" shapeId="0" xr:uid="{00000000-0006-0000-0000-000073000000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9" authorId="0" shapeId="0" xr:uid="{00000000-0006-0000-0000-000074000000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D320" authorId="0" shapeId="0" xr:uid="{00000000-0006-0000-0000-000075000000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21" authorId="0" shapeId="0" xr:uid="{00000000-0006-0000-0000-000076000000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21" authorId="0" shapeId="0" xr:uid="{00000000-0006-0000-0000-000077000000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A326" authorId="0" shapeId="0" xr:uid="{00000000-0006-0000-0000-000078000000}">
      <text>
        <r>
          <rPr>
            <b/>
            <sz val="9"/>
            <color rgb="FF000000"/>
            <rFont val="Arial"/>
            <family val="2"/>
          </rPr>
          <t>Especificar somente quando for exigido no Projeto Básico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329" authorId="0" shapeId="0" xr:uid="{00000000-0006-0000-0000-000079000000}">
      <text>
        <r>
          <rPr>
            <sz val="9"/>
            <color rgb="FF000000"/>
            <rFont val="Arial"/>
            <family val="2"/>
          </rPr>
          <t>Informar o valor total para instalação do equipamento de monitoramento da frota, se houver previsão no Projeto Básico</t>
        </r>
      </text>
    </comment>
    <comment ref="D331" authorId="0" shapeId="0" xr:uid="{00000000-0006-0000-0000-00007A000000}">
      <text>
        <r>
          <rPr>
            <sz val="9"/>
            <color rgb="FF000000"/>
            <rFont val="Arial"/>
            <family val="2"/>
          </rPr>
          <t>Informar o valor unitário mensal para manutenção dos equipamentos de monitoramento</t>
        </r>
      </text>
    </comment>
    <comment ref="A337" authorId="0" shapeId="0" xr:uid="{C4869863-0299-4BC3-9172-EB9DDD45461E}">
      <text>
        <r>
          <rPr>
            <b/>
            <sz val="9"/>
            <color rgb="FF000000"/>
            <rFont val="Arial"/>
            <family val="2"/>
          </rPr>
          <t>Especificar somente quando for exigido no Projeto Básico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347" authorId="0" shapeId="0" xr:uid="{00000000-0006-0000-0000-00007B000000}">
      <text>
        <r>
          <rPr>
            <sz val="9"/>
            <color rgb="FF000000"/>
            <rFont val="Arial"/>
            <family val="2"/>
          </rPr>
          <t>Preencher a aba 4.BDI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" authorId="0" shapeId="0" xr:uid="{01EB7E90-1685-4F33-8F4D-BFC7F7E2FB84}">
      <text/>
    </comment>
    <comment ref="B49" authorId="0" shapeId="0" xr:uid="{22952A7A-9A39-40FD-AB35-548CE62D6BDF}">
      <text>
        <r>
          <rPr>
            <b/>
            <sz val="9"/>
            <color rgb="FF000000"/>
            <rFont val="Arial"/>
            <family val="2"/>
          </rPr>
          <t>Informar o fator de utilização das equipes de coleta.</t>
        </r>
        <r>
          <rPr>
            <b/>
            <sz val="9"/>
            <color rgb="FF000000"/>
            <rFont val="Arial"/>
            <family val="2"/>
          </rPr>
          <t xml:space="preserve">
Por exemplo:</t>
        </r>
        <r>
          <rPr>
            <b/>
            <sz val="9"/>
            <color rgb="FF000000"/>
            <rFont val="Arial"/>
            <family val="2"/>
          </rPr>
          <t xml:space="preserve">
Equipes com utilização integral = 100%</t>
        </r>
        <r>
          <rPr>
            <b/>
            <sz val="9"/>
            <color rgb="FF000000"/>
            <rFont val="Arial"/>
            <family val="2"/>
          </rPr>
          <t xml:space="preserve">
Equipes com utilização parcial = n° horas trabalhadas por semana /44 horas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55" authorId="0" shapeId="0" xr:uid="{98E37617-E2D0-4744-BC5F-FD78CC425215}">
      <text>
        <r>
          <rPr>
            <sz val="9"/>
            <color rgb="FF000000"/>
            <rFont val="Arial"/>
            <family val="2"/>
          </rPr>
          <t>Informar o Piso da categoria fixado na Convenção Coletiva</t>
        </r>
      </text>
    </comment>
    <comment ref="A58" authorId="0" shapeId="0" xr:uid="{883E5932-1587-4269-AEC8-78444B32BB72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61" authorId="0" shapeId="0" xr:uid="{339A069C-C940-48E6-821A-28DB292A142A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63" authorId="0" shapeId="0" xr:uid="{3F00EE2B-9581-4321-9D91-F926A150F331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D68" authorId="0" shapeId="0" xr:uid="{0ECE9CBF-5F43-412B-894A-35381C727FBE}">
      <text>
        <r>
          <rPr>
            <sz val="9"/>
            <color rgb="FF000000"/>
            <rFont val="Arial"/>
            <family val="2"/>
          </rPr>
          <t>Informar o Piso da categoria fixado na Convenção Coletiva</t>
        </r>
      </text>
    </comment>
    <comment ref="D69" authorId="0" shapeId="0" xr:uid="{ADF0697E-7EB6-490D-8A55-1B3F743EF840}">
      <text>
        <r>
          <rPr>
            <sz val="9"/>
            <color rgb="FF000000"/>
            <rFont val="Arial"/>
            <family val="2"/>
          </rPr>
          <t>Informar o valor do salário Mínimo Nacional</t>
        </r>
      </text>
    </comment>
    <comment ref="C71" authorId="0" shapeId="0" xr:uid="{B4CAD2D8-E72D-4989-A8C4-7209B11BF7C0}">
      <text>
        <r>
          <rPr>
            <sz val="9"/>
            <color rgb="FF000000"/>
            <rFont val="Arial"/>
            <family val="2"/>
          </rPr>
          <t>Informar o número de horas extras trabalhadas em horário diurno de segunda a sábado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A72" authorId="0" shapeId="0" xr:uid="{CDF767B1-28DC-4BDA-88F8-E729451FA510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73" authorId="0" shapeId="0" xr:uid="{A7630475-6E82-46CD-8FA9-10D7A8B75953}">
      <text>
        <r>
          <rPr>
            <sz val="9"/>
            <color rgb="FF000000"/>
            <rFont val="Arial"/>
            <family val="2"/>
          </rPr>
          <t>Informar 1 se a base de cálculo for o Salário Mínimo Nacional; Informar 2 se a base de cálculo for o Piso da Categoria;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74" authorId="0" shapeId="0" xr:uid="{BC69F535-5307-4A64-AF53-5933BB8CDB2F}">
      <text>
        <r>
          <rPr>
            <sz val="9"/>
            <color rgb="FF000000"/>
            <rFont val="Arial"/>
            <family val="2"/>
          </rPr>
          <t>Percentual estabelecido nas Normas de Segurança de Trabalho ou pelo laudo de responsável técnico devidamente habilitado</t>
        </r>
      </text>
    </comment>
    <comment ref="C76" authorId="0" shapeId="0" xr:uid="{13158FEF-AE13-43CD-9906-1481B61D5F5B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78" authorId="0" shapeId="0" xr:uid="{BBA56CB0-DA5E-458A-B1B5-0516FBA510E3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C84" authorId="0" shapeId="0" xr:uid="{8D121C1D-93CA-4DF3-835C-25DC6D848177}">
      <text>
        <r>
          <rPr>
            <sz val="9"/>
            <color rgb="FF000000"/>
            <rFont val="Arial"/>
            <family val="2"/>
          </rPr>
          <t>Informar o número de horas noturnas trabalhadas no intervalo das 22:00h as 5:00h</t>
        </r>
      </text>
    </comment>
    <comment ref="C86" authorId="0" shapeId="0" xr:uid="{F5C586DB-DB26-45A9-A7C7-F81D82E2B2EE}">
      <text>
        <r>
          <rPr>
            <sz val="9"/>
            <color rgb="FF000000"/>
            <rFont val="Arial"/>
            <family val="2"/>
          </rPr>
          <t>Informar o número de horas extras trabalhadas em horário noturno nos domingos e feriados</t>
        </r>
      </text>
    </comment>
    <comment ref="C87" authorId="0" shapeId="0" xr:uid="{DB76B22A-A63C-4CAD-A5CB-D48A619A83D1}">
      <text>
        <r>
          <rPr>
            <sz val="9"/>
            <color rgb="FF000000"/>
            <rFont val="Arial"/>
            <family val="2"/>
          </rPr>
          <t>Informar o número de horas extras trabalhadas em horário noturno de segunda à sábado</t>
        </r>
      </text>
    </comment>
    <comment ref="A88" authorId="0" shapeId="0" xr:uid="{CEDB2157-25F1-4734-927F-54EFE24745B5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89" authorId="0" shapeId="0" xr:uid="{E5E333CD-3484-4F2D-8FE2-FBCE804669A8}">
      <text>
        <r>
          <rPr>
            <sz val="9"/>
            <color rgb="FF000000"/>
            <rFont val="Arial"/>
            <family val="2"/>
          </rPr>
          <t>Informar 1 se a base de cálculo for o Salário Mínimo Nacional; Informar 2 se a base de cálculo for o Piso da Categoria;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92" authorId="0" shapeId="0" xr:uid="{0BDB6225-B7B2-49C7-8CF8-A6071DB017C7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94" authorId="0" shapeId="0" xr:uid="{46E10920-918C-41A6-9C1E-FE971A16A381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D99" authorId="0" shapeId="0" xr:uid="{C829ECBA-F031-456E-922F-C4BAA4BA4ACA}">
      <text>
        <r>
          <rPr>
            <sz val="9"/>
            <color rgb="FF000000"/>
            <rFont val="Arial"/>
            <family val="2"/>
          </rPr>
          <t>Informar o valor unitário do VT no município</t>
        </r>
      </text>
    </comment>
    <comment ref="C100" authorId="0" shapeId="0" xr:uid="{B0580D29-61B9-4DF7-8291-B4B21C99C889}">
      <text>
        <r>
          <rPr>
            <sz val="9"/>
            <color rgb="FF000000"/>
            <rFont val="Arial"/>
            <family val="2"/>
          </rPr>
          <t>Informar o número médio de dias trabalhados por mês</t>
        </r>
      </text>
    </comment>
    <comment ref="D101" authorId="0" shapeId="0" xr:uid="{93CB564A-6F83-4819-8191-14D2753CE88C}">
      <text>
        <r>
          <rPr>
            <sz val="9"/>
            <color rgb="FF000000"/>
            <rFont val="Arial"/>
            <family val="2"/>
          </rPr>
          <t>Valor Unitário considerando o desconto legal de até 6% do salário</t>
        </r>
      </text>
    </comment>
    <comment ref="D102" authorId="0" shapeId="0" xr:uid="{090F5C35-9715-4CC3-9522-F48300094AB8}">
      <text>
        <r>
          <rPr>
            <sz val="9"/>
            <color rgb="FF000000"/>
            <rFont val="Arial"/>
            <family val="2"/>
          </rPr>
          <t>Valor Unitário considerando o desconto legal de até 6% do salário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07" authorId="0" shapeId="0" xr:uid="{BCDD4055-319F-42BF-A3A1-B7BCA85C279C}">
      <text>
        <r>
          <rPr>
            <sz val="9"/>
            <color rgb="FF000000"/>
            <rFont val="Arial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08" authorId="0" shapeId="0" xr:uid="{E69C374D-4F01-4377-83A9-A7A4C69358CB}">
      <text>
        <r>
          <rPr>
            <sz val="9"/>
            <color rgb="FF000000"/>
            <rFont val="Arial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13" authorId="0" shapeId="0" xr:uid="{42C6E482-D48F-4C4E-89D9-0F526018ED1A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D115" authorId="0" shapeId="0" xr:uid="{0D202396-CD57-4CAE-B789-AF727115517A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D130" authorId="0" shapeId="0" xr:uid="{700369DD-9FFA-42EF-9FFE-E541FBE0FC05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C139" authorId="0" shapeId="0" xr:uid="{CA0D3052-23E0-4D80-BE6B-573C2C370143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39" authorId="0" shapeId="0" xr:uid="{EA6BE533-EF07-4879-A540-65963E9A15EA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2" authorId="0" shapeId="0" xr:uid="{892A8EBD-6BDF-48C4-9BB7-31C907D64252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2" authorId="0" shapeId="0" xr:uid="{1B00AD52-FFA0-4A44-A528-07C7B52BC9EF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3" authorId="0" shapeId="0" xr:uid="{9A2056E2-36DF-45A5-8CDA-74F5226D0553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3" authorId="0" shapeId="0" xr:uid="{AC43E893-0868-45AA-882E-85780610EEED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4" authorId="0" shapeId="0" xr:uid="{9429139C-2626-4DB4-AE5F-3469294B7EF9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4" authorId="0" shapeId="0" xr:uid="{F597B228-F520-4589-B902-2AC8DEF7AA8C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5" authorId="0" shapeId="0" xr:uid="{A5D22A67-7876-4635-B976-663496A198CC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5" authorId="0" shapeId="0" xr:uid="{95C9A663-DAD0-4808-A69B-284EF2B08846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6" authorId="0" shapeId="0" xr:uid="{9402B274-0ECE-45CA-9F3F-0D30FE8D1D5C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6" authorId="0" shapeId="0" xr:uid="{7FDC602F-97C7-4B3B-9AFA-49686DF5A14E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7" authorId="0" shapeId="0" xr:uid="{B6E03BA1-7673-47DA-A843-1E76CE2DDE2E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7" authorId="0" shapeId="0" xr:uid="{049ECF33-00A7-468A-BAED-C579610EFF4C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8" authorId="0" shapeId="0" xr:uid="{B3159555-9EDE-4B54-A911-74885449D33C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8" authorId="0" shapeId="0" xr:uid="{81D1B91A-122A-4767-956E-0DB814D577CD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50" authorId="0" shapeId="0" xr:uid="{11C7EF07-6B46-46FA-95FB-40E134DB952A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50" authorId="0" shapeId="0" xr:uid="{32F083F2-F774-402F-9BC4-FEB1EC2722B5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D151" authorId="0" shapeId="0" xr:uid="{84BA6D3C-32F0-4E4E-8D98-9ECBD820357C}">
      <text>
        <r>
          <rPr>
            <sz val="9"/>
            <color rgb="FF000000"/>
            <rFont val="Arial"/>
            <family val="2"/>
          </rPr>
          <t>Informar o valor mensal de higienização de uniforme para 1 funcionário</t>
        </r>
      </text>
    </comment>
    <comment ref="C157" authorId="0" shapeId="0" xr:uid="{DD9141B0-1FC9-4459-951F-61B486D08CAF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0" authorId="0" shapeId="0" xr:uid="{24D62FA9-DEA3-40B6-9482-A2741CE04389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1" authorId="0" shapeId="0" xr:uid="{20781DDE-AC2B-41F1-B016-F206D6D7803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2" authorId="0" shapeId="0" xr:uid="{203311B3-BFCC-4DDF-900D-2B3D13CCAA2F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4" authorId="0" shapeId="0" xr:uid="{915C9678-8968-4A91-B804-BE2A08538424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76" authorId="0" shapeId="0" xr:uid="{51EE008C-2DF3-4E16-92D5-592ACCACA298}">
      <text>
        <r>
          <rPr>
            <sz val="9"/>
            <color rgb="FF000000"/>
            <rFont val="Arial"/>
            <family val="2"/>
          </rPr>
          <t>Informar o preço unitário do chassis do caminhão de coleta</t>
        </r>
      </text>
    </comment>
    <comment ref="C177" authorId="0" shapeId="0" xr:uid="{86CDE3F3-EFDC-4940-913E-C4DD34FF6A42}">
      <text>
        <r>
          <rPr>
            <sz val="9"/>
            <color rgb="FF000000"/>
            <rFont val="Arial"/>
            <family val="2"/>
          </rPr>
          <t>Informar a vida útil estimada para o caminhão, em anos</t>
        </r>
      </text>
    </comment>
    <comment ref="C178" authorId="0" shapeId="0" xr:uid="{C50798A0-9040-4BBA-AD8B-EC2FE5D400E4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veículo proposto.</t>
        </r>
      </text>
    </comment>
    <comment ref="C179" authorId="0" shapeId="0" xr:uid="{E4E1C6D4-8BD7-4C65-9848-EB4DCB4291AC}">
      <text>
        <r>
          <rPr>
            <b/>
            <sz val="9"/>
            <color rgb="FF000000"/>
            <rFont val="Arial"/>
            <family val="2"/>
          </rPr>
          <t>Informar o valor da depreciação do caminhão,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81" authorId="0" shapeId="0" xr:uid="{E12F5F94-D9A0-4A03-B44C-184985F157B1}">
      <text>
        <r>
          <rPr>
            <sz val="9"/>
            <color rgb="FF000000"/>
            <rFont val="Arial"/>
            <family val="2"/>
          </rPr>
          <t>Informar o preço unitário do equipamento compactador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82" authorId="0" shapeId="0" xr:uid="{165DC8BB-6939-4F18-90A2-70CF600D92E1}">
      <text>
        <r>
          <rPr>
            <sz val="9"/>
            <color rgb="FF000000"/>
            <rFont val="Arial"/>
            <family val="2"/>
          </rPr>
          <t>Informar a vida útil estimada para o compactador, em anos</t>
        </r>
      </text>
    </comment>
    <comment ref="C183" authorId="0" shapeId="0" xr:uid="{34276E07-6051-4DC7-B060-DC7F455575FB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compactador proposto.</t>
        </r>
      </text>
    </comment>
    <comment ref="C184" authorId="0" shapeId="0" xr:uid="{867284E5-0E77-49BA-BF36-B2DDC5095470}">
      <text>
        <r>
          <rPr>
            <b/>
            <sz val="9"/>
            <color rgb="FF000000"/>
            <rFont val="Arial"/>
            <family val="2"/>
          </rPr>
          <t>Informar o valor da depreciação do compactador,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187" authorId="0" shapeId="0" xr:uid="{5C4C685B-5EF3-4A3A-803B-EFB626BAECBD}">
      <text>
        <r>
          <rPr>
            <sz val="9"/>
            <color rgb="FF000000"/>
            <rFont val="Arial"/>
            <family val="2"/>
          </rPr>
          <t>Informar a quantidade de caminhões compactadores do respectivo modelo</t>
        </r>
      </text>
    </comment>
    <comment ref="C195" authorId="0" shapeId="0" xr:uid="{3B312AEF-CF14-44FA-AD5F-6937A0F51DF6}">
      <text>
        <r>
          <rPr>
            <b/>
            <sz val="9"/>
            <color rgb="FF000000"/>
            <rFont val="Arial"/>
            <family val="2"/>
          </rPr>
          <t>Informar a taxa de juros anual para remuneração do capital. Recomenda-se o uso da Taxa SELIC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13" authorId="0" shapeId="0" xr:uid="{49DDF447-C7AD-4ECA-B508-AE17811D4460}">
      <text>
        <r>
          <rPr>
            <sz val="9"/>
            <color rgb="FF000000"/>
            <rFont val="Arial"/>
            <family val="2"/>
          </rPr>
          <t>Informar o valor do seguro obrigatório e licenciamento anual de um caminhão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14" authorId="0" shapeId="0" xr:uid="{473F1C9F-253C-4948-9A2A-2C9EB0603EB8}">
      <text>
        <r>
          <rPr>
            <sz val="9"/>
            <color rgb="FF000000"/>
            <rFont val="Arial"/>
            <family val="2"/>
          </rPr>
          <t>Informar o valor do seguro contra terceiros de um caminhão, se houver previsão no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B220" authorId="0" shapeId="0" xr:uid="{E03C5569-95F1-48E6-8BFA-C70DAC86BF6B}">
      <text>
        <r>
          <rPr>
            <sz val="9"/>
            <color rgb="FF000000"/>
            <rFont val="Arial"/>
            <family val="2"/>
          </rPr>
          <t>Informar a quilometragem mensal percorrida, de acordo com 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23" authorId="0" shapeId="0" xr:uid="{AFA20A17-455D-4D0B-9673-9FC7601A1E57}">
      <text>
        <r>
          <rPr>
            <sz val="9"/>
            <color rgb="FF000000"/>
            <rFont val="Arial"/>
            <family val="2"/>
          </rPr>
          <t>Informar o consumo estimado do veículo em km/l</t>
        </r>
      </text>
    </comment>
    <comment ref="D223" authorId="0" shapeId="0" xr:uid="{602F3BB8-165B-4D8A-9A24-4F6C5A29428D}">
      <text>
        <r>
          <rPr>
            <sz val="9"/>
            <color rgb="FF000000"/>
            <rFont val="Arial"/>
            <family val="2"/>
          </rPr>
          <t>Informar o preço unitário do combustivel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25" authorId="0" shapeId="0" xr:uid="{EE9CAE6D-A23F-44D8-95D9-5A434F021623}">
      <text>
        <r>
          <rPr>
            <sz val="9"/>
            <color rgb="FF000000"/>
            <rFont val="Arial"/>
            <family val="2"/>
          </rPr>
          <t>Informar o consumo de óleo do motor a cada 1000km</t>
        </r>
      </text>
    </comment>
    <comment ref="C227" authorId="0" shapeId="0" xr:uid="{9C3D5EEC-4934-49C1-808B-BB815DB33654}">
      <text>
        <r>
          <rPr>
            <sz val="9"/>
            <color rgb="FF000000"/>
            <rFont val="Arial"/>
            <family val="2"/>
          </rPr>
          <t>Informar o consumo de óleo da transmissão a cada 1000km</t>
        </r>
      </text>
    </comment>
    <comment ref="D227" authorId="0" shapeId="0" xr:uid="{0D2ADBBE-F12E-4BB8-9210-589E5A3A1FF6}">
      <text>
        <r>
          <rPr>
            <sz val="9"/>
            <color rgb="FF000000"/>
            <rFont val="Arial"/>
            <family val="2"/>
          </rPr>
          <t>Informar o preço unitário do litro do óleo da transmissão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29" authorId="0" shapeId="0" xr:uid="{2EA8B502-DFDE-4CE6-88E6-1680C65784ED}">
      <text>
        <r>
          <rPr>
            <sz val="9"/>
            <color rgb="FF000000"/>
            <rFont val="Arial"/>
            <family val="2"/>
          </rPr>
          <t>Informar o consumo de óleo hidráulico a cada 1000km</t>
        </r>
      </text>
    </comment>
    <comment ref="D229" authorId="0" shapeId="0" xr:uid="{39539BEE-EBE1-4349-89AC-4FED3FC33449}">
      <text>
        <r>
          <rPr>
            <sz val="9"/>
            <color rgb="FF000000"/>
            <rFont val="Arial"/>
            <family val="2"/>
          </rPr>
          <t>Informar o preço unitário do litro do óleo hidráulico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31" authorId="0" shapeId="0" xr:uid="{7797CBE0-B713-4BCE-8548-9AC6A7AFE7D9}">
      <text>
        <r>
          <rPr>
            <sz val="9"/>
            <color rgb="FF000000"/>
            <rFont val="Arial"/>
            <family val="2"/>
          </rPr>
          <t>Informar o consumo de graxa a cada 1000km</t>
        </r>
      </text>
    </comment>
    <comment ref="D231" authorId="0" shapeId="0" xr:uid="{B3F62BA5-A261-46BF-ABD8-5BD57E778E46}">
      <text>
        <r>
          <rPr>
            <sz val="9"/>
            <color rgb="FF000000"/>
            <rFont val="Arial"/>
            <family val="2"/>
          </rPr>
          <t>Informar o preço unitário do litro da graxa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43" authorId="0" shapeId="0" xr:uid="{0BB49EB8-33A3-4395-B905-753E11D2B1B9}">
      <text>
        <r>
          <rPr>
            <sz val="9"/>
            <color rgb="FF000000"/>
            <rFont val="Arial"/>
            <family val="2"/>
          </rPr>
          <t>Informar a quantidade de pneus novos de 1 caminhão</t>
        </r>
      </text>
    </comment>
    <comment ref="C244" authorId="0" shapeId="0" xr:uid="{5271561B-BC08-4B27-8766-2022C60C8D28}">
      <text>
        <r>
          <rPr>
            <sz val="9"/>
            <color rgb="FF000000"/>
            <rFont val="Arial"/>
            <family val="2"/>
          </rPr>
          <t>Informar o número de recapagens por pneu</t>
        </r>
      </text>
    </comment>
    <comment ref="C246" authorId="0" shapeId="0" xr:uid="{80FDDB04-7EE1-4BE7-A563-418DEDC2E281}">
      <text>
        <r>
          <rPr>
            <sz val="9"/>
            <color rgb="FF000000"/>
            <rFont val="Arial"/>
            <family val="2"/>
          </rPr>
          <t>Informar a durabilidade média dos pneus considerando todas as recapagens, em km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54" authorId="0" shapeId="0" xr:uid="{B74BD948-C68D-47B6-A1B9-F6626A25E04B}">
      <text>
        <r>
          <rPr>
            <sz val="9"/>
            <color rgb="FF000000"/>
            <rFont val="Arial"/>
            <family val="2"/>
          </rPr>
          <t>Informar o preço unitário do chassis do caminhão de coleta</t>
        </r>
      </text>
    </comment>
    <comment ref="C255" authorId="0" shapeId="0" xr:uid="{F05F16CA-E6A6-4F42-8C31-350A5E25E1F9}">
      <text>
        <r>
          <rPr>
            <sz val="9"/>
            <color rgb="FF000000"/>
            <rFont val="Arial"/>
            <family val="2"/>
          </rPr>
          <t>Informar a vida útil estimada para o caminhão, em anos</t>
        </r>
      </text>
    </comment>
    <comment ref="C256" authorId="0" shapeId="0" xr:uid="{4C2EBCB3-A77C-421D-AA03-344292E358A4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veículo proposto.</t>
        </r>
      </text>
    </comment>
    <comment ref="C257" authorId="0" shapeId="0" xr:uid="{27954447-D7C1-4D95-A31B-B8B0B8E9B4B8}">
      <text>
        <r>
          <rPr>
            <b/>
            <sz val="9"/>
            <color rgb="FF000000"/>
            <rFont val="Arial"/>
            <family val="2"/>
          </rPr>
          <t>Informar o valor da depreciação do caminhão,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260" authorId="0" shapeId="0" xr:uid="{CB4919F2-769B-42C6-AF8E-6C379EB8C673}">
      <text>
        <r>
          <rPr>
            <sz val="9"/>
            <color rgb="FF000000"/>
            <rFont val="Arial"/>
            <family val="2"/>
          </rPr>
          <t>Informar a quantidade de caminhões compactadores do respectivo modelo</t>
        </r>
      </text>
    </comment>
    <comment ref="C266" authorId="0" shapeId="0" xr:uid="{E801B82E-B987-4EC6-999B-5ECC2D968351}">
      <text>
        <r>
          <rPr>
            <b/>
            <sz val="9"/>
            <color rgb="FF000000"/>
            <rFont val="Arial"/>
            <family val="2"/>
          </rPr>
          <t>Informar a taxa de juros anual para remuneração do capital. Recomenda-se o uso da Taxa SELIC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77" authorId="0" shapeId="0" xr:uid="{CFB02B38-D7AE-4C71-896A-AD15F62818C2}">
      <text>
        <r>
          <rPr>
            <sz val="9"/>
            <color rgb="FF000000"/>
            <rFont val="Arial"/>
            <family val="2"/>
          </rPr>
          <t>Informar o valor do seguro obrigatório e licenciamento anual de um caminhão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78" authorId="0" shapeId="0" xr:uid="{C3239E79-85DE-43C4-B2F4-EC9EF3A0E3B8}">
      <text>
        <r>
          <rPr>
            <sz val="9"/>
            <color rgb="FF000000"/>
            <rFont val="Arial"/>
            <family val="2"/>
          </rPr>
          <t>Informar o valor do seguro contra terceiros de um caminhão, se houver previsão no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B283" authorId="0" shapeId="0" xr:uid="{BD7C97DF-7B4B-4ED0-AB67-BE21E24EEE95}">
      <text>
        <r>
          <rPr>
            <sz val="9"/>
            <color rgb="FF000000"/>
            <rFont val="Arial"/>
            <family val="2"/>
          </rPr>
          <t>Informar a quilometragem mensal percorrida, de acordo com 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86" authorId="0" shapeId="0" xr:uid="{B4EFE150-9618-4E94-86EA-1B726D8F6CB1}">
      <text>
        <r>
          <rPr>
            <sz val="9"/>
            <color rgb="FF000000"/>
            <rFont val="Arial"/>
            <family val="2"/>
          </rPr>
          <t>Informar o consumo estimado do veículo em km/l</t>
        </r>
      </text>
    </comment>
    <comment ref="D286" authorId="0" shapeId="0" xr:uid="{377695F2-95D8-4329-974E-E72605B85EB6}">
      <text>
        <r>
          <rPr>
            <sz val="9"/>
            <color rgb="FF000000"/>
            <rFont val="Arial"/>
            <family val="2"/>
          </rPr>
          <t>Informar o preço unitário do combustivel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88" authorId="0" shapeId="0" xr:uid="{E9D82B6F-545B-4883-A389-6BEDBCD76F08}">
      <text>
        <r>
          <rPr>
            <sz val="9"/>
            <color rgb="FF000000"/>
            <rFont val="Arial"/>
            <family val="2"/>
          </rPr>
          <t>Informar o consumo de óleo do motor a cada 1000km</t>
        </r>
      </text>
    </comment>
    <comment ref="C300" authorId="0" shapeId="0" xr:uid="{1964EB3F-CA27-41B9-9123-0673BB83A392}">
      <text>
        <r>
          <rPr>
            <sz val="9"/>
            <color rgb="FF000000"/>
            <rFont val="Arial"/>
            <family val="2"/>
          </rPr>
          <t>Informar a quantidade de pneus novos de 1 caminhão</t>
        </r>
      </text>
    </comment>
    <comment ref="C301" authorId="0" shapeId="0" xr:uid="{694D7327-0079-4383-8206-E7C22179DCC5}">
      <text>
        <r>
          <rPr>
            <sz val="9"/>
            <color rgb="FF000000"/>
            <rFont val="Arial"/>
            <family val="2"/>
          </rPr>
          <t>Informar a durabilidade média dos pneus considerando todas as recapagens, em km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311" authorId="0" shapeId="0" xr:uid="{A6B3B566-B15A-4F80-89E2-38880A37E7E9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1" authorId="0" shapeId="0" xr:uid="{80DB5544-7553-4592-B1D7-BC4AF7B88D7F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12" authorId="0" shapeId="0" xr:uid="{AE2540F3-0B89-4D34-92EE-1EA0810ACA8D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2" authorId="0" shapeId="0" xr:uid="{4D97386F-DD10-4454-BAB2-7E66CC158D26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13" authorId="0" shapeId="0" xr:uid="{B266E0C7-1CAD-458B-92E5-FD3FBC0AE079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3" authorId="0" shapeId="0" xr:uid="{FD050281-1E20-4553-8A3D-FC995B7CE164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D314" authorId="0" shapeId="0" xr:uid="{0B24FA26-3DC3-4DFB-B73A-4D07586B9365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15" authorId="0" shapeId="0" xr:uid="{C0B9CAC3-2AA4-4A35-B6D6-1164D14D45F1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5" authorId="0" shapeId="0" xr:uid="{AF3C2549-C028-459A-ACE0-18C445AB4D5D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A320" authorId="0" shapeId="0" xr:uid="{3DAB3FD8-087A-446D-B029-25680EDCCC28}">
      <text>
        <r>
          <rPr>
            <b/>
            <sz val="9"/>
            <color rgb="FF000000"/>
            <rFont val="Arial"/>
            <family val="2"/>
          </rPr>
          <t>Especificar somente quando for exigido no Projeto Básico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323" authorId="0" shapeId="0" xr:uid="{42EB76EE-8850-4437-BE5B-908C165783C1}">
      <text>
        <r>
          <rPr>
            <sz val="9"/>
            <color rgb="FF000000"/>
            <rFont val="Arial"/>
            <family val="2"/>
          </rPr>
          <t>Informar o valor total para instalação do equipamento de monitoramento da frota, se houver previsão no Projeto Básico</t>
        </r>
      </text>
    </comment>
    <comment ref="D325" authorId="0" shapeId="0" xr:uid="{E699E80F-91C2-4089-A703-6E46A81E834D}">
      <text>
        <r>
          <rPr>
            <sz val="9"/>
            <color rgb="FF000000"/>
            <rFont val="Arial"/>
            <family val="2"/>
          </rPr>
          <t>Informar o valor unitário mensal para manutenção dos equipamentos de monitoramento</t>
        </r>
      </text>
    </comment>
    <comment ref="A331" authorId="0" shapeId="0" xr:uid="{C421A17A-6746-45EF-A509-A3E0E65D1249}">
      <text>
        <r>
          <rPr>
            <b/>
            <sz val="9"/>
            <color rgb="FF000000"/>
            <rFont val="Arial"/>
            <family val="2"/>
          </rPr>
          <t>Especificar somente quando for exigido no Projeto Básico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339" authorId="0" shapeId="0" xr:uid="{FC326D94-C0C2-46DB-8A4C-C1347411AA71}">
      <text>
        <r>
          <rPr>
            <sz val="9"/>
            <color rgb="FF000000"/>
            <rFont val="Arial"/>
            <family val="2"/>
          </rPr>
          <t>Preencher a aba 4.BDI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" authorId="0" shapeId="0" xr:uid="{10FE5ECD-B8B3-4001-A899-877B393AA5FF}">
      <text/>
    </comment>
    <comment ref="B50" authorId="0" shapeId="0" xr:uid="{224BF764-C7C1-4561-BA34-F4C24D4C0BF4}">
      <text>
        <r>
          <rPr>
            <b/>
            <sz val="9"/>
            <color rgb="FF000000"/>
            <rFont val="Arial"/>
            <family val="2"/>
          </rPr>
          <t>Informar o fator de utilização das equipes de coleta.</t>
        </r>
        <r>
          <rPr>
            <b/>
            <sz val="9"/>
            <color rgb="FF000000"/>
            <rFont val="Arial"/>
            <family val="2"/>
          </rPr>
          <t xml:space="preserve">
Por exemplo:</t>
        </r>
        <r>
          <rPr>
            <b/>
            <sz val="9"/>
            <color rgb="FF000000"/>
            <rFont val="Arial"/>
            <family val="2"/>
          </rPr>
          <t xml:space="preserve">
Equipes com utilização integral = 100%</t>
        </r>
        <r>
          <rPr>
            <b/>
            <sz val="9"/>
            <color rgb="FF000000"/>
            <rFont val="Arial"/>
            <family val="2"/>
          </rPr>
          <t xml:space="preserve">
Equipes com utilização parcial = n° horas trabalhadas por semana /44 horas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56" authorId="0" shapeId="0" xr:uid="{115E9025-F4D6-4D3C-BA77-F36FBB72EFE4}">
      <text>
        <r>
          <rPr>
            <sz val="9"/>
            <color rgb="FF000000"/>
            <rFont val="Arial"/>
            <family val="2"/>
          </rPr>
          <t>Informar o Piso da categoria fixado na Convenção Coletiva</t>
        </r>
      </text>
    </comment>
    <comment ref="A59" authorId="0" shapeId="0" xr:uid="{8B436A9F-7876-4083-AC33-B1AC0D5F3724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62" authorId="0" shapeId="0" xr:uid="{D1B63FC1-67C7-46B4-ACCD-50720AD3007D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64" authorId="0" shapeId="0" xr:uid="{6C523D07-AE04-43C9-9DD3-ED93956E04B7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D70" authorId="0" shapeId="0" xr:uid="{C3577923-A0AA-4F22-9908-F7C4E87A6B66}">
      <text>
        <r>
          <rPr>
            <sz val="9"/>
            <color rgb="FF000000"/>
            <rFont val="Arial"/>
            <family val="2"/>
          </rPr>
          <t>Informar o Piso da categoria fixado na Convenção Coletiva</t>
        </r>
      </text>
    </comment>
    <comment ref="D71" authorId="0" shapeId="0" xr:uid="{91CA74C1-FBE9-46A2-B82E-1341A8AA6DC7}">
      <text>
        <r>
          <rPr>
            <sz val="9"/>
            <color rgb="FF000000"/>
            <rFont val="Arial"/>
            <family val="2"/>
          </rPr>
          <t>Informar o valor do salário Mínimo Nacional</t>
        </r>
      </text>
    </comment>
    <comment ref="C72" authorId="0" shapeId="0" xr:uid="{1A92FF30-E597-4917-8727-4D25733BB4D8}">
      <text>
        <r>
          <rPr>
            <sz val="9"/>
            <color rgb="FF000000"/>
            <rFont val="Arial"/>
            <family val="2"/>
          </rPr>
          <t>Informar o número de horas extras trabalhadas em horário diurno nos domingos e feriados</t>
        </r>
      </text>
    </comment>
    <comment ref="C73" authorId="0" shapeId="0" xr:uid="{800A56A0-B61C-4A5E-B738-CCF1EF5940CD}">
      <text>
        <r>
          <rPr>
            <sz val="9"/>
            <color rgb="FF000000"/>
            <rFont val="Arial"/>
            <family val="2"/>
          </rPr>
          <t>Informar o número de horas extras trabalhadas em horário diurno de segunda a sábado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A74" authorId="0" shapeId="0" xr:uid="{BE28D549-791F-41BF-B0F7-8690F8939699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75" authorId="0" shapeId="0" xr:uid="{859AAABD-60F4-4B3A-94C8-37C356E719E5}">
      <text>
        <r>
          <rPr>
            <sz val="9"/>
            <color rgb="FF000000"/>
            <rFont val="Arial"/>
            <family val="2"/>
          </rPr>
          <t>Informar 1 se a base de cálculo for o Salário Mínimo Nacional; Informar 2 se a base de cálculo for o Piso da Categoria;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76" authorId="0" shapeId="0" xr:uid="{C882825C-8BFF-45DB-81C3-9F6BE6771F49}">
      <text>
        <r>
          <rPr>
            <sz val="9"/>
            <color rgb="FF000000"/>
            <rFont val="Arial"/>
            <family val="2"/>
          </rPr>
          <t>Percentual estabelecido nas Normas de Segurança de Trabalho ou pelo laudo de responsável técnico devidamente habilitado</t>
        </r>
      </text>
    </comment>
    <comment ref="C78" authorId="0" shapeId="0" xr:uid="{4F12B636-F493-46D4-8CAA-FF8615B710F8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80" authorId="0" shapeId="0" xr:uid="{65F9AC90-8837-441A-BA95-D469362A5A1C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C87" authorId="0" shapeId="0" xr:uid="{51E29F78-D896-45BE-8F17-FA43B3A85CC9}">
      <text>
        <r>
          <rPr>
            <sz val="9"/>
            <color rgb="FF000000"/>
            <rFont val="Arial"/>
            <family val="2"/>
          </rPr>
          <t>Informar o número de horas noturnas trabalhadas no intervalo das 22:00h as 5:00h</t>
        </r>
      </text>
    </comment>
    <comment ref="C89" authorId="0" shapeId="0" xr:uid="{1136D98D-6D2A-41D3-8BCD-891FC97CA152}">
      <text>
        <r>
          <rPr>
            <sz val="9"/>
            <color rgb="FF000000"/>
            <rFont val="Arial"/>
            <family val="2"/>
          </rPr>
          <t>Informar o número de horas extras trabalhadas em horário noturno nos domingos e feriados</t>
        </r>
      </text>
    </comment>
    <comment ref="C90" authorId="0" shapeId="0" xr:uid="{75F73155-5CE2-4A5C-B629-C9C531ECA5C6}">
      <text>
        <r>
          <rPr>
            <sz val="9"/>
            <color rgb="FF000000"/>
            <rFont val="Arial"/>
            <family val="2"/>
          </rPr>
          <t>Informar o número de horas extras trabalhadas em horário noturno de segunda à sábado</t>
        </r>
      </text>
    </comment>
    <comment ref="A91" authorId="0" shapeId="0" xr:uid="{757B04F4-E967-411D-8B16-3A37CAD8D4F6}">
      <text>
        <r>
          <rPr>
            <sz val="9"/>
            <color rgb="FF000000"/>
            <rFont val="Arial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92" authorId="0" shapeId="0" xr:uid="{A12F72FC-3B9F-4982-90B1-955B2005A279}">
      <text>
        <r>
          <rPr>
            <sz val="9"/>
            <color rgb="FF000000"/>
            <rFont val="Arial"/>
            <family val="2"/>
          </rPr>
          <t>Informar 1 se a base de cálculo for o Salário Mínimo Nacional; Informar 2 se a base de cálculo for o Piso da Categoria;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95" authorId="0" shapeId="0" xr:uid="{570985CA-67E1-4DE2-9CBD-4EE330D7C87B}">
      <text>
        <r>
          <rPr>
            <sz val="9"/>
            <color rgb="FF000000"/>
            <rFont val="Arial"/>
            <family val="2"/>
          </rPr>
          <t>Preencher a planilha Encargos Sociais e CAGED</t>
        </r>
      </text>
    </comment>
    <comment ref="C97" authorId="0" shapeId="0" xr:uid="{CA517784-BFE7-4259-869E-9BE7904E578B}">
      <text>
        <r>
          <rPr>
            <sz val="9"/>
            <color rgb="FF000000"/>
            <rFont val="Arial"/>
            <family val="2"/>
          </rPr>
          <t>Informar a quantidade de trabalhadores na função</t>
        </r>
      </text>
    </comment>
    <comment ref="D102" authorId="0" shapeId="0" xr:uid="{E8729B0C-EBC5-414F-8B55-D6B66EB4FB17}">
      <text>
        <r>
          <rPr>
            <sz val="9"/>
            <color rgb="FF000000"/>
            <rFont val="Arial"/>
            <family val="2"/>
          </rPr>
          <t>Informar o valor unitário do VT no município</t>
        </r>
      </text>
    </comment>
    <comment ref="C103" authorId="0" shapeId="0" xr:uid="{88420622-1E3E-41E6-A2FD-5E87B6E53325}">
      <text>
        <r>
          <rPr>
            <sz val="9"/>
            <color rgb="FF000000"/>
            <rFont val="Arial"/>
            <family val="2"/>
          </rPr>
          <t>Informar o número médio de dias trabalhados por mês</t>
        </r>
      </text>
    </comment>
    <comment ref="D104" authorId="0" shapeId="0" xr:uid="{B833DB77-5AF6-4785-BEBD-BDF73F8CBABE}">
      <text>
        <r>
          <rPr>
            <sz val="9"/>
            <color rgb="FF000000"/>
            <rFont val="Arial"/>
            <family val="2"/>
          </rPr>
          <t>Valor Unitário considerando o desconto legal de até 6% do salário</t>
        </r>
      </text>
    </comment>
    <comment ref="D105" authorId="0" shapeId="0" xr:uid="{1A0B2BA3-2B6F-4434-94FF-98FC1C3FDF90}">
      <text>
        <r>
          <rPr>
            <sz val="9"/>
            <color rgb="FF000000"/>
            <rFont val="Arial"/>
            <family val="2"/>
          </rPr>
          <t>Valor Unitário considerando o desconto legal de até 6% do salário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10" authorId="0" shapeId="0" xr:uid="{BF80C2EA-682C-41EB-BDE2-09EA4401F300}">
      <text>
        <r>
          <rPr>
            <sz val="9"/>
            <color rgb="FF000000"/>
            <rFont val="Arial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11" authorId="0" shapeId="0" xr:uid="{42F65ABC-70AD-454D-99BB-29951665D8E7}">
      <text>
        <r>
          <rPr>
            <sz val="9"/>
            <color rgb="FF000000"/>
            <rFont val="Arial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16" authorId="0" shapeId="0" xr:uid="{9B80F129-F41F-4349-99DF-EA553E6232A2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D117" authorId="0" shapeId="0" xr:uid="{BE81DA17-3479-499F-92A5-AEEFB3834F09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D132" authorId="0" shapeId="0" xr:uid="{61D00E49-5730-47AC-86D8-8422BF0DE9F6}">
      <text>
        <r>
          <rPr>
            <sz val="9"/>
            <color rgb="FF000000"/>
            <rFont val="Arial"/>
            <family val="2"/>
          </rPr>
          <t>Informar o valor mensal do auxilio alimentação, considerando o desconto aplicável ao funcionário, conforme Convenção Coletiva da categoria</t>
        </r>
      </text>
    </comment>
    <comment ref="C141" authorId="0" shapeId="0" xr:uid="{F91E418E-4868-44D9-9AC1-1E5152ED2F0D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1" authorId="0" shapeId="0" xr:uid="{BCBC2448-A5DC-4F8C-8D45-2EE49AE6F026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4" authorId="0" shapeId="0" xr:uid="{6B98CF3C-5B9E-435A-92AB-EEDCAF71A1AE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4" authorId="0" shapeId="0" xr:uid="{050E6E6F-7F8A-408C-B115-DAB2F1D244D0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5" authorId="0" shapeId="0" xr:uid="{29482419-1C2F-44E9-BF01-657DB05EC521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5" authorId="0" shapeId="0" xr:uid="{1A702B85-59FA-4193-9893-D3BA98428D93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6" authorId="0" shapeId="0" xr:uid="{A6A8F33E-C10E-4185-B627-0D3555351E13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6" authorId="0" shapeId="0" xr:uid="{32275494-FEB6-4B01-8B85-A4D9CEF2E5B9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7" authorId="0" shapeId="0" xr:uid="{BF0EFD69-D1CA-4887-9F33-88D2FF90874F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7" authorId="0" shapeId="0" xr:uid="{EC6670AE-F761-4764-832D-E434164D2335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8" authorId="0" shapeId="0" xr:uid="{6A78EF80-BD61-4741-BBB1-043B6D7FB25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8" authorId="0" shapeId="0" xr:uid="{84F779CC-06E2-476F-A924-6FE50A3B7555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49" authorId="0" shapeId="0" xr:uid="{DA9FED98-B192-49B9-88A4-A1084F7FDE61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49" authorId="0" shapeId="0" xr:uid="{7D5AB355-9FC1-4E79-A4C7-BFFF9A2DD403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50" authorId="0" shapeId="0" xr:uid="{4FC1E3CA-DB3F-4698-AEE0-C9CD059BB081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50" authorId="0" shapeId="0" xr:uid="{7E9256E4-DC43-4957-B2F4-0A0C45984288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C152" authorId="0" shapeId="0" xr:uid="{3D41C5E7-827D-480B-8F0F-DF329682E909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52" authorId="0" shapeId="0" xr:uid="{D10BB84E-67C9-4276-8B1E-DCAC7E41FD2A}">
      <text>
        <r>
          <rPr>
            <sz val="9"/>
            <color rgb="FF000000"/>
            <rFont val="Arial"/>
            <family val="2"/>
          </rPr>
          <t>Informar o valor unitário estimado para aquisição de cada EPI</t>
        </r>
      </text>
    </comment>
    <comment ref="D153" authorId="0" shapeId="0" xr:uid="{043F310F-88BE-4C0C-8E5E-825F6D11E647}">
      <text>
        <r>
          <rPr>
            <sz val="9"/>
            <color rgb="FF000000"/>
            <rFont val="Arial"/>
            <family val="2"/>
          </rPr>
          <t>Informar o valor mensal de higienização de uniforme para 1 funcionário</t>
        </r>
      </text>
    </comment>
    <comment ref="C159" authorId="0" shapeId="0" xr:uid="{A3B105DE-1FD8-45DC-9E8B-F2A545461E38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2" authorId="0" shapeId="0" xr:uid="{9344E4FA-BD2F-43DC-AED7-D9CBC6E1BDFD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3" authorId="0" shapeId="0" xr:uid="{7A3686AA-A21A-4C93-9E53-4FE482A12D4D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4" authorId="0" shapeId="0" xr:uid="{823A44FF-4A42-47E1-84FF-68AC6B9608F0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66" authorId="0" shapeId="0" xr:uid="{74AF3AA5-9190-4BB6-808D-55255DA9F69E}">
      <text>
        <r>
          <rPr>
            <sz val="9"/>
            <color rgb="FF000000"/>
            <rFont val="Arial"/>
            <family val="2"/>
          </rPr>
          <t>Informar a durabilidade estimada em meses, para cada EPI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78" authorId="0" shapeId="0" xr:uid="{046BC350-1AB2-441E-BA19-ED18C0B8FBEC}">
      <text>
        <r>
          <rPr>
            <sz val="9"/>
            <color rgb="FF000000"/>
            <rFont val="Arial"/>
            <family val="2"/>
          </rPr>
          <t>Informar o preço unitário do chassis do caminhão de coleta</t>
        </r>
      </text>
    </comment>
    <comment ref="C179" authorId="0" shapeId="0" xr:uid="{527E0E45-E6CB-4B08-B5DD-F018198619AD}">
      <text>
        <r>
          <rPr>
            <sz val="9"/>
            <color rgb="FF000000"/>
            <rFont val="Arial"/>
            <family val="2"/>
          </rPr>
          <t>Informar a vida útil estimada para o caminhão, em anos</t>
        </r>
      </text>
    </comment>
    <comment ref="C180" authorId="0" shapeId="0" xr:uid="{685B5DA7-0D97-4F2D-AFDF-84CD4559C423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veículo proposto.</t>
        </r>
      </text>
    </comment>
    <comment ref="C181" authorId="0" shapeId="0" xr:uid="{3E662E45-2F19-40F6-ACED-7E1514C758C6}">
      <text>
        <r>
          <rPr>
            <b/>
            <sz val="9"/>
            <color rgb="FF000000"/>
            <rFont val="Arial"/>
            <family val="2"/>
          </rPr>
          <t>Informar o valor da depreciação do caminhão,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83" authorId="0" shapeId="0" xr:uid="{328DDFF3-9662-448E-A82E-570A161D3521}">
      <text>
        <r>
          <rPr>
            <sz val="9"/>
            <color rgb="FF000000"/>
            <rFont val="Arial"/>
            <family val="2"/>
          </rPr>
          <t>Informar o preço unitário do equipamento compactador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184" authorId="0" shapeId="0" xr:uid="{4C13E827-1C3A-48E4-BF81-D1028EEEA0A1}">
      <text>
        <r>
          <rPr>
            <sz val="9"/>
            <color rgb="FF000000"/>
            <rFont val="Arial"/>
            <family val="2"/>
          </rPr>
          <t>Informar a vida útil estimada para o compactador, em anos</t>
        </r>
      </text>
    </comment>
    <comment ref="C185" authorId="0" shapeId="0" xr:uid="{253DED1D-5D08-48A4-A53B-647E59D1D4F1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compactador proposto.</t>
        </r>
      </text>
    </comment>
    <comment ref="C186" authorId="0" shapeId="0" xr:uid="{9950AB14-0CA8-4D4C-A7C7-9BD18B4C432B}">
      <text>
        <r>
          <rPr>
            <b/>
            <sz val="9"/>
            <color rgb="FF000000"/>
            <rFont val="Arial"/>
            <family val="2"/>
          </rPr>
          <t>Informar o valor da depreciação do compactador,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189" authorId="0" shapeId="0" xr:uid="{62133254-A868-461C-A73E-7404047EEFD3}">
      <text>
        <r>
          <rPr>
            <sz val="9"/>
            <color rgb="FF000000"/>
            <rFont val="Arial"/>
            <family val="2"/>
          </rPr>
          <t>Informar a quantidade de caminhões compactadores do respectivo modelo</t>
        </r>
      </text>
    </comment>
    <comment ref="C196" authorId="0" shapeId="0" xr:uid="{01908C70-4977-4BFB-BF6F-647CCB3AA61A}">
      <text>
        <r>
          <rPr>
            <b/>
            <sz val="9"/>
            <color rgb="FF000000"/>
            <rFont val="Arial"/>
            <family val="2"/>
          </rPr>
          <t>Informar a taxa de juros anual para remuneração do capital. Recomenda-se o uso da Taxa SELIC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14" authorId="0" shapeId="0" xr:uid="{9CEA657E-82CB-4703-8783-3D0C48650FB6}">
      <text>
        <r>
          <rPr>
            <sz val="9"/>
            <color rgb="FF000000"/>
            <rFont val="Arial"/>
            <family val="2"/>
          </rPr>
          <t>Informar o valor do seguro obrigatório e licenciamento anual de um caminhão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15" authorId="0" shapeId="0" xr:uid="{4345797E-E402-4EDE-9BC2-ED6794DD3CE6}">
      <text>
        <r>
          <rPr>
            <sz val="9"/>
            <color rgb="FF000000"/>
            <rFont val="Arial"/>
            <family val="2"/>
          </rPr>
          <t>Informar o valor do seguro contra terceiros de um caminhão, se houver previsão no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B221" authorId="0" shapeId="0" xr:uid="{66BF3CDC-244F-40D3-BA94-61AB140E65CE}">
      <text>
        <r>
          <rPr>
            <sz val="9"/>
            <color rgb="FF000000"/>
            <rFont val="Arial"/>
            <family val="2"/>
          </rPr>
          <t>Informar a quilometragem mensal percorrida, de acordo com 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24" authorId="0" shapeId="0" xr:uid="{23FD8E3C-A3C4-48AE-B69E-D6C8EFBD130D}">
      <text>
        <r>
          <rPr>
            <sz val="9"/>
            <color rgb="FF000000"/>
            <rFont val="Arial"/>
            <family val="2"/>
          </rPr>
          <t>Informar o consumo estimado do veículo em km/l</t>
        </r>
      </text>
    </comment>
    <comment ref="D224" authorId="0" shapeId="0" xr:uid="{90F4C2EB-3854-4B0C-8112-EB25D060B5D5}">
      <text>
        <r>
          <rPr>
            <sz val="9"/>
            <color rgb="FF000000"/>
            <rFont val="Arial"/>
            <family val="2"/>
          </rPr>
          <t>Informar o preço unitário do combustivel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26" authorId="0" shapeId="0" xr:uid="{9FB4A385-95E7-4E92-842B-08A4DA954874}">
      <text>
        <r>
          <rPr>
            <sz val="9"/>
            <color rgb="FF000000"/>
            <rFont val="Arial"/>
            <family val="2"/>
          </rPr>
          <t>Informar o consumo de óleo do motor a cada 1000km</t>
        </r>
      </text>
    </comment>
    <comment ref="C228" authorId="0" shapeId="0" xr:uid="{DC6C1629-F177-4240-80EB-0402F31C4F66}">
      <text>
        <r>
          <rPr>
            <sz val="9"/>
            <color rgb="FF000000"/>
            <rFont val="Arial"/>
            <family val="2"/>
          </rPr>
          <t>Informar o consumo de óleo da transmissão a cada 1000km</t>
        </r>
      </text>
    </comment>
    <comment ref="D228" authorId="0" shapeId="0" xr:uid="{233FC72A-2C9E-4690-840E-BBEE7A04B55A}">
      <text>
        <r>
          <rPr>
            <sz val="9"/>
            <color rgb="FF000000"/>
            <rFont val="Arial"/>
            <family val="2"/>
          </rPr>
          <t>Informar o preço unitário do litro do óleo da transmissão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30" authorId="0" shapeId="0" xr:uid="{F4E713B3-14FD-404C-B6AE-DFE6BFA7741F}">
      <text>
        <r>
          <rPr>
            <sz val="9"/>
            <color rgb="FF000000"/>
            <rFont val="Arial"/>
            <family val="2"/>
          </rPr>
          <t>Informar o consumo de óleo hidráulico a cada 1000km</t>
        </r>
      </text>
    </comment>
    <comment ref="D230" authorId="0" shapeId="0" xr:uid="{4819F935-132E-475F-92F9-CC3E0AFCB06F}">
      <text>
        <r>
          <rPr>
            <sz val="9"/>
            <color rgb="FF000000"/>
            <rFont val="Arial"/>
            <family val="2"/>
          </rPr>
          <t>Informar o preço unitário do litro do óleo hidráulico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32" authorId="0" shapeId="0" xr:uid="{529EFDF7-626C-411C-9BEF-9CDA190A50AE}">
      <text>
        <r>
          <rPr>
            <sz val="9"/>
            <color rgb="FF000000"/>
            <rFont val="Arial"/>
            <family val="2"/>
          </rPr>
          <t>Informar o consumo de graxa a cada 1000km</t>
        </r>
      </text>
    </comment>
    <comment ref="D232" authorId="0" shapeId="0" xr:uid="{EE79A944-37C9-43FC-8725-432BC0170D93}">
      <text>
        <r>
          <rPr>
            <sz val="9"/>
            <color rgb="FF000000"/>
            <rFont val="Arial"/>
            <family val="2"/>
          </rPr>
          <t>Informar o preço unitário do litro da graxa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44" authorId="0" shapeId="0" xr:uid="{70E33A4B-FF57-4C43-BB0A-E815221431A9}">
      <text>
        <r>
          <rPr>
            <sz val="9"/>
            <color rgb="FF000000"/>
            <rFont val="Arial"/>
            <family val="2"/>
          </rPr>
          <t>Informar a quantidade de pneus novos de 1 caminhão</t>
        </r>
      </text>
    </comment>
    <comment ref="C245" authorId="0" shapeId="0" xr:uid="{485D6579-5654-4694-874D-4B24B4093EF9}">
      <text>
        <r>
          <rPr>
            <sz val="9"/>
            <color rgb="FF000000"/>
            <rFont val="Arial"/>
            <family val="2"/>
          </rPr>
          <t>Informar o número de recapagens por pneu</t>
        </r>
      </text>
    </comment>
    <comment ref="C247" authorId="0" shapeId="0" xr:uid="{D2D74F8E-CB7F-4701-BC05-E60EB8DA5D06}">
      <text>
        <r>
          <rPr>
            <sz val="9"/>
            <color rgb="FF000000"/>
            <rFont val="Arial"/>
            <family val="2"/>
          </rPr>
          <t>Informar a durabilidade média dos pneus considerando todas as recapagens, em km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55" authorId="0" shapeId="0" xr:uid="{CB4A9EE5-E22F-4EC8-BB67-55A1638D9B55}">
      <text>
        <r>
          <rPr>
            <sz val="9"/>
            <color rgb="FF000000"/>
            <rFont val="Arial"/>
            <family val="2"/>
          </rPr>
          <t>Informar o preço unitário do chassis do caminhão de coleta</t>
        </r>
      </text>
    </comment>
    <comment ref="C256" authorId="0" shapeId="0" xr:uid="{2BC18199-0A1F-4FE1-B0BF-41F361D68EA2}">
      <text>
        <r>
          <rPr>
            <sz val="9"/>
            <color rgb="FF000000"/>
            <rFont val="Arial"/>
            <family val="2"/>
          </rPr>
          <t>Informar a vida útil estimada para o caminhão, em anos</t>
        </r>
      </text>
    </comment>
    <comment ref="C257" authorId="0" shapeId="0" xr:uid="{7F1C72EB-0DFB-422B-8BDF-47CC62AF30A0}">
      <text>
        <r>
          <rPr>
            <sz val="9"/>
            <color rgb="FF000000"/>
            <rFont val="Arial"/>
            <family val="2"/>
          </rPr>
          <t>Na elaboração do orçamento-base da licitação, informar 0 (zero). Na proposta da licitante, informar a idade do veículo proposto.</t>
        </r>
      </text>
    </comment>
    <comment ref="C258" authorId="0" shapeId="0" xr:uid="{45C9CDD6-6003-4E77-AB23-8FB45EF29212}">
      <text>
        <r>
          <rPr>
            <b/>
            <sz val="9"/>
            <color rgb="FF000000"/>
            <rFont val="Arial"/>
            <family val="2"/>
          </rPr>
          <t>Informar o valor da depreciação do caminhão, adotando o valor sugerido pelo TCE ou outro valor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261" authorId="0" shapeId="0" xr:uid="{B33C6619-7958-4847-B429-645A22082BD8}">
      <text>
        <r>
          <rPr>
            <sz val="9"/>
            <color rgb="FF000000"/>
            <rFont val="Arial"/>
            <family val="2"/>
          </rPr>
          <t>Informar a quantidade de caminhões compactadores do respectivo modelo</t>
        </r>
      </text>
    </comment>
    <comment ref="C267" authorId="0" shapeId="0" xr:uid="{F08CE83F-25CD-442B-85FD-4B59526AD0AD}">
      <text>
        <r>
          <rPr>
            <b/>
            <sz val="9"/>
            <color rgb="FF000000"/>
            <rFont val="Arial"/>
            <family val="2"/>
          </rPr>
          <t>Informar a taxa de juros anual para remuneração do capital. Recomenda-se o uso da Taxa SELIC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78" authorId="0" shapeId="0" xr:uid="{B95447BC-CEEE-4354-BAB4-015450AEB183}">
      <text>
        <r>
          <rPr>
            <sz val="9"/>
            <color rgb="FF000000"/>
            <rFont val="Arial"/>
            <family val="2"/>
          </rPr>
          <t>Informar o valor do seguro obrigatório e licenciamento anual de um caminhão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79" authorId="0" shapeId="0" xr:uid="{417EAF7A-1A86-405B-BDE9-9DCFE521ACFC}">
      <text>
        <r>
          <rPr>
            <sz val="9"/>
            <color rgb="FF000000"/>
            <rFont val="Arial"/>
            <family val="2"/>
          </rPr>
          <t>Informar o valor do seguro contra terceiros de um caminhão, se houver previsão no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B284" authorId="0" shapeId="0" xr:uid="{78D18634-FCF4-4DEC-963B-4D7C7F382D59}">
      <text>
        <r>
          <rPr>
            <sz val="9"/>
            <color rgb="FF000000"/>
            <rFont val="Arial"/>
            <family val="2"/>
          </rPr>
          <t>Informar a quilometragem mensal percorrida, de acordo com o projeto básico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87" authorId="0" shapeId="0" xr:uid="{E4DF67CD-D557-4B9B-B27F-ADC7A39A3C49}">
      <text>
        <r>
          <rPr>
            <sz val="9"/>
            <color rgb="FF000000"/>
            <rFont val="Arial"/>
            <family val="2"/>
          </rPr>
          <t>Informar o consumo estimado do veículo em km/l</t>
        </r>
      </text>
    </comment>
    <comment ref="D287" authorId="0" shapeId="0" xr:uid="{7A9C41BC-3EFC-4AB7-8E67-C9740D2E7930}">
      <text>
        <r>
          <rPr>
            <sz val="9"/>
            <color rgb="FF000000"/>
            <rFont val="Arial"/>
            <family val="2"/>
          </rPr>
          <t>Informar o preço unitário do combustivel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289" authorId="0" shapeId="0" xr:uid="{1556A2DB-8FFA-4AE1-92D3-A3306950B395}">
      <text>
        <r>
          <rPr>
            <sz val="9"/>
            <color rgb="FF000000"/>
            <rFont val="Arial"/>
            <family val="2"/>
          </rPr>
          <t>Informar o consumo de óleo do motor a cada 1000km</t>
        </r>
      </text>
    </comment>
    <comment ref="C301" authorId="0" shapeId="0" xr:uid="{567AAD35-7104-49EF-B45C-EC235D7995D8}">
      <text>
        <r>
          <rPr>
            <sz val="9"/>
            <color rgb="FF000000"/>
            <rFont val="Arial"/>
            <family val="2"/>
          </rPr>
          <t>Informar a quantidade de pneus novos de 1 caminhão</t>
        </r>
      </text>
    </comment>
    <comment ref="C302" authorId="0" shapeId="0" xr:uid="{2AE11E75-8769-421F-A8F5-3539412A9A00}">
      <text>
        <r>
          <rPr>
            <sz val="9"/>
            <color rgb="FF000000"/>
            <rFont val="Arial"/>
            <family val="2"/>
          </rPr>
          <t>Informar a durabilidade média dos pneus considerando todas as recapagens, em km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C311" authorId="0" shapeId="0" xr:uid="{2593B404-9817-4718-9543-6607333781F3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1" authorId="0" shapeId="0" xr:uid="{855F84A2-CCE8-44F4-84E2-FF526EE3FC8F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12" authorId="0" shapeId="0" xr:uid="{E93F2237-3B68-4B91-8769-12458EA4642A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2" authorId="0" shapeId="0" xr:uid="{BC302271-5482-4394-8E00-942F47A92E0B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13" authorId="0" shapeId="0" xr:uid="{1FA1DA0B-43FC-465E-8050-CD990DA45210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3" authorId="0" shapeId="0" xr:uid="{E4CB5803-505F-4158-B063-1AF9E1835561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D314" authorId="0" shapeId="0" xr:uid="{20B5E593-7276-4A32-91D7-B1949F71B3D3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C315" authorId="0" shapeId="0" xr:uid="{F8D85968-02E4-450F-A604-8D98569330AE}">
      <text>
        <r>
          <rPr>
            <sz val="9"/>
            <color rgb="FF000000"/>
            <rFont val="Arial"/>
            <family val="2"/>
          </rPr>
          <t>Informar a quantidade estimada por mês. Por exemplo, se a durabilidade estimada é de 6 meses, informar 1/6; se a durabilidade estimada é de 3 meses informar 1/3, etc..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5" authorId="0" shapeId="0" xr:uid="{9EC9F840-1A8C-4255-818E-AA4CDA2D8DDA}">
      <text>
        <r>
          <rPr>
            <sz val="9"/>
            <color rgb="FF000000"/>
            <rFont val="Arial"/>
            <family val="2"/>
          </rPr>
          <t>Informar o valor unitário estimado para aquisição de cada material</t>
        </r>
      </text>
    </comment>
    <comment ref="A320" authorId="0" shapeId="0" xr:uid="{46B27622-74BE-4805-B867-8CE67E03048C}">
      <text>
        <r>
          <rPr>
            <b/>
            <sz val="9"/>
            <color rgb="FF000000"/>
            <rFont val="Arial"/>
            <family val="2"/>
          </rPr>
          <t>Especificar somente quando for exigido no Projeto Básico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323" authorId="0" shapeId="0" xr:uid="{C81C8B83-B80B-4325-A2D2-6F8D14B8C497}">
      <text>
        <r>
          <rPr>
            <sz val="9"/>
            <color rgb="FF000000"/>
            <rFont val="Arial"/>
            <family val="2"/>
          </rPr>
          <t>Informar o valor total para instalação do equipamento de monitoramento da frota, se houver previsão no Projeto Básico</t>
        </r>
      </text>
    </comment>
    <comment ref="D325" authorId="0" shapeId="0" xr:uid="{C3822726-872F-4315-AF42-7CCE555C60DD}">
      <text>
        <r>
          <rPr>
            <sz val="9"/>
            <color rgb="FF000000"/>
            <rFont val="Arial"/>
            <family val="2"/>
          </rPr>
          <t>Informar o valor unitário mensal para manutenção dos equipamentos de monitoramento</t>
        </r>
      </text>
    </comment>
    <comment ref="C337" authorId="0" shapeId="0" xr:uid="{868F5F73-85C4-4380-86E1-1F015EE31EE4}">
      <text>
        <r>
          <rPr>
            <sz val="9"/>
            <color rgb="FF000000"/>
            <rFont val="Arial"/>
            <family val="2"/>
          </rPr>
          <t>Preencher a aba 4.BDI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2" authorId="0" shapeId="0" xr:uid="{00000000-0006-0000-0500-000001000000}">
      <text>
        <r>
          <rPr>
            <b/>
            <sz val="9"/>
            <color rgb="FF000000"/>
            <rFont val="Arial"/>
            <family val="2"/>
          </rPr>
          <t>Informar o % de Administração Central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13" authorId="0" shapeId="0" xr:uid="{00000000-0006-0000-0500-000002000000}">
      <text>
        <r>
          <rPr>
            <b/>
            <sz val="9"/>
            <color rgb="FF000000"/>
            <rFont val="Arial"/>
            <family val="2"/>
          </rPr>
          <t>Informar o % de Seguros, Riscos e Garantia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14" authorId="0" shapeId="0" xr:uid="{00000000-0006-0000-0500-000003000000}">
      <text>
        <r>
          <rPr>
            <b/>
            <sz val="9"/>
            <color rgb="FF000000"/>
            <rFont val="Arial"/>
            <family val="2"/>
          </rPr>
          <t>Informar o % de Lucro estimado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E15" authorId="0" shapeId="0" xr:uid="{00000000-0006-0000-0500-000004000000}">
      <text>
        <r>
          <rPr>
            <b/>
            <sz val="9"/>
            <color rgb="FF000000"/>
            <rFont val="Arial"/>
            <family val="2"/>
          </rPr>
          <t>Informar o valor anual da taxa financeira, em percentual. Admite-se utilizar a SELIC</t>
        </r>
      </text>
    </comment>
    <comment ref="C16" authorId="0" shapeId="0" xr:uid="{00000000-0006-0000-0500-000005000000}">
      <text>
        <r>
          <rPr>
            <b/>
            <sz val="9"/>
            <color rgb="FF000000"/>
            <rFont val="Arial"/>
            <family val="2"/>
          </rPr>
          <t>Informar o percentual de ISS, de acordo com a legislação tributária do município onde serão prestados os serviços. De 2% até o limite de 5%.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E16" authorId="0" shapeId="0" xr:uid="{00000000-0006-0000-0500-000006000000}">
      <text>
        <r>
          <rPr>
            <b/>
            <sz val="9"/>
            <color rgb="FF000000"/>
            <rFont val="Arial"/>
            <family val="2"/>
          </rPr>
          <t>Informar a média de dias úteis entre data de pagamento prevista no contrato e a data final do período de adimplemento da parcela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17" authorId="0" shapeId="0" xr:uid="{00000000-0006-0000-0500-000007000000}">
      <text>
        <r>
          <rPr>
            <sz val="10"/>
            <color rgb="FF000000"/>
            <rFont val="Arial"/>
            <family val="2"/>
          </rPr>
          <t xml:space="preserve">Informar o valor estimado de PIS/COFINS.
</t>
        </r>
        <r>
          <rPr>
            <sz val="9"/>
            <color rgb="FF000000"/>
            <rFont val="Arial"/>
            <family val="2"/>
          </rPr>
          <t>1. Adotar 0,65% PIS + 3% COFINS quando o valor anual estimado do contrato for inferior ao limite para tributação pelo regime de incidência não-cumulativa (lucro presumido);</t>
        </r>
        <r>
          <rPr>
            <sz val="9"/>
            <color rgb="FF000000"/>
            <rFont val="Arial"/>
            <family val="2"/>
          </rPr>
          <t xml:space="preserve">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cbridi</author>
    <author>Clauber Bridi</author>
    <author>Omar</author>
  </authors>
  <commentList>
    <comment ref="C12" authorId="0" shapeId="0" xr:uid="{9A610982-19B9-4D78-AEC0-B0824A7D48C2}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 shapeId="0" xr:uid="{5300C26A-D465-4B49-86F0-6525927A0D62}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 shapeId="0" xr:uid="{1DA58EE0-BE33-4D76-AD35-CEB8FBF24288}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 shapeId="0" xr:uid="{C199C660-1A56-4504-8DC2-B54CEDAF8641}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9" authorId="0" shapeId="0" xr:uid="{14FAFEDF-D250-449E-9DA0-347575180309}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 shapeId="0" xr:uid="{4F7D8DAA-004E-47E4-91E8-3038CA9C5B2C}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 shapeId="0" xr:uid="{EBF8C17F-13F9-4409-8669-80FC29B5325E}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cbridi</author>
    <author>Clauber Bridi</author>
    <author>Omar</author>
  </authors>
  <commentList>
    <comment ref="C12" authorId="0" shapeId="0" xr:uid="{B0A4A950-FD93-4EE8-82F6-FDA692BF8BFB}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13" authorId="1" shapeId="0" xr:uid="{8FB77CB4-7859-401F-A2B3-46EDDC0D602C}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14" authorId="2" shapeId="0" xr:uid="{EA705D3F-D02B-4527-A6DE-401A71355D27}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16" authorId="0" shapeId="0" xr:uid="{0CE2B574-752F-47DA-ABDE-CC5665F43902}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9" authorId="0" shapeId="0" xr:uid="{B997BDB4-D5D8-4108-8148-156FFB70C9F4}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20" authorId="0" shapeId="0" xr:uid="{9B2C8DCE-095B-4122-B115-1C3E80B172F8}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23" authorId="1" shapeId="0" xr:uid="{785A5B33-8BF7-4F83-8F70-1453E8DA5EEF}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<sst xmlns="http://schemas.openxmlformats.org/spreadsheetml/2006/main" count="1905" uniqueCount="404">
  <si>
    <t xml:space="preserve">   </t>
  </si>
  <si>
    <t>Orçamento Sintético</t>
  </si>
  <si>
    <t>Descrição do Item</t>
  </si>
  <si>
    <t>Custo (R$/mês)</t>
  </si>
  <si>
    <t>%</t>
  </si>
  <si>
    <t>3.2. Veículo de Apoio (Pequeno Porte)</t>
  </si>
  <si>
    <t>3.2.1. Depreciação</t>
  </si>
  <si>
    <t>3.2.2. Remuneração do Capital</t>
  </si>
  <si>
    <t>3.2.3. Impostos e Seguros</t>
  </si>
  <si>
    <t>3.2.4. Consumos</t>
  </si>
  <si>
    <t>3.2.5. Manutenção</t>
  </si>
  <si>
    <t>3.2.6. Pneus</t>
  </si>
  <si>
    <t>PREÇO TOTAL MENSAL COM A COLETA</t>
  </si>
  <si>
    <t>Quantitativos</t>
  </si>
  <si>
    <t>Mão-de-obra</t>
  </si>
  <si>
    <t>Quantidade</t>
  </si>
  <si>
    <t>Total de mão-de-obra (postos de trabalho)</t>
  </si>
  <si>
    <t>Veículos e Equipamentos</t>
  </si>
  <si>
    <t>3.3 Veículo de Apoio (Pequeno Porte – Caminhonete)</t>
  </si>
  <si>
    <t>Fator de utilização (FU)</t>
  </si>
  <si>
    <t>1. Mão-de-obra</t>
  </si>
  <si>
    <t>1.1. Coletor Turno Dia</t>
  </si>
  <si>
    <t>Discriminação</t>
  </si>
  <si>
    <t>Unidade</t>
  </si>
  <si>
    <t>Custo unitário</t>
  </si>
  <si>
    <t>Subtotal</t>
  </si>
  <si>
    <r>
      <rPr>
        <b/>
        <sz val="9"/>
        <color rgb="FF000000"/>
        <rFont val="Arial"/>
        <family val="2"/>
      </rPr>
      <t xml:space="preserve">Total </t>
    </r>
    <r>
      <rPr>
        <b/>
        <u/>
        <sz val="9"/>
        <color rgb="FF000000"/>
        <rFont val="Arial"/>
        <family val="2"/>
      </rPr>
      <t>(R$)</t>
    </r>
  </si>
  <si>
    <t>Piso da categoria</t>
  </si>
  <si>
    <t>mês</t>
  </si>
  <si>
    <t>Horas Extras (100%)</t>
  </si>
  <si>
    <t>hora</t>
  </si>
  <si>
    <t>Excluir esta linha caso a contratação não tenha previsão de horas extras 100% explícita no edital</t>
  </si>
  <si>
    <t>Horas Extras (50%)</t>
  </si>
  <si>
    <t>Excluir esta linha caso a contratação não tenha previsão de horas extras 50% explícita no edital</t>
  </si>
  <si>
    <t>Descanso Semanal Remunerado (DSR) - hora extra</t>
  </si>
  <si>
    <t>R$</t>
  </si>
  <si>
    <t>Excluir esta linha caso a contratação não tenha previsão de horas extras explícita no edital</t>
  </si>
  <si>
    <t>Adicional de Insalubridade</t>
  </si>
  <si>
    <t>Soma</t>
  </si>
  <si>
    <t>Encargos Sociais</t>
  </si>
  <si>
    <t>Total por Coletor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</si>
  <si>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</si>
  <si>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</si>
  <si>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</si>
  <si>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</si>
  <si>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</si>
  <si>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</si>
  <si>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Piso da categoria (2)</t>
  </si>
  <si>
    <t>Salário mínimo nacional (1)</t>
  </si>
  <si>
    <t>Base de cálculo da Insalubridade</t>
  </si>
  <si>
    <t>Total por Motorista</t>
  </si>
  <si>
    <t>Total por Supervisor/Encarregado</t>
  </si>
  <si>
    <t>Vale Transporte</t>
  </si>
  <si>
    <t>Dias Trabalhados por mês</t>
  </si>
  <si>
    <t>dia</t>
  </si>
  <si>
    <t>Coletor</t>
  </si>
  <si>
    <t>vale</t>
  </si>
  <si>
    <t>Motorista</t>
  </si>
  <si>
    <t>unidade</t>
  </si>
  <si>
    <t>Custo Mensal com Mão-de-obra (R$/mês)</t>
  </si>
  <si>
    <t>2. Uniformes e Equipamentos de Proteção Individual</t>
  </si>
  <si>
    <t>Durabilidade (meses)</t>
  </si>
  <si>
    <t>Calça</t>
  </si>
  <si>
    <t>Camiseta</t>
  </si>
  <si>
    <t>Boné</t>
  </si>
  <si>
    <t>Botina de segurança c/ palmilha aço</t>
  </si>
  <si>
    <t>par</t>
  </si>
  <si>
    <t>Meia de algodão com cano alto</t>
  </si>
  <si>
    <t>Capa de chuva amarela com reflexivo</t>
  </si>
  <si>
    <t>Colete reflexivo</t>
  </si>
  <si>
    <t>Luva de proteção</t>
  </si>
  <si>
    <t>Protetor solar FPS 30</t>
  </si>
  <si>
    <t>frasco 120g</t>
  </si>
  <si>
    <t>Higienização de uniformes e EPIs</t>
  </si>
  <si>
    <t>R$ mensal</t>
  </si>
  <si>
    <t>Custo Mensal com Uniformes e EPIs (R$/mês)</t>
  </si>
  <si>
    <t>3. Veículos e Equipamentos</t>
  </si>
  <si>
    <t>3.1.1. Depreciação</t>
  </si>
  <si>
    <t>Custo de aquisição do chassis</t>
  </si>
  <si>
    <t>Vida útil do chassis</t>
  </si>
  <si>
    <t>anos</t>
  </si>
  <si>
    <t>Idade do veículo</t>
  </si>
  <si>
    <t>Depreciação do chassis</t>
  </si>
  <si>
    <t>Depreciação mensal veículos coletores</t>
  </si>
  <si>
    <t>Custo de aquisição do compactador</t>
  </si>
  <si>
    <t>Vida útil do compactador</t>
  </si>
  <si>
    <t>Idade do compactador</t>
  </si>
  <si>
    <t>Depreciação do compactador</t>
  </si>
  <si>
    <t>Depreciação mensal do compactador</t>
  </si>
  <si>
    <t>Total por veículo</t>
  </si>
  <si>
    <t>Total da frota</t>
  </si>
  <si>
    <t>Obs.: Fator de utilização 1,10 contabilizando o caminhão reserva para acréscimo de valor, por meio de recomendação do TCE.</t>
  </si>
  <si>
    <t>3.1.2. Remuneração do Capital</t>
  </si>
  <si>
    <t>Custo do chassis</t>
  </si>
  <si>
    <t>Taxa de juros anual nominal</t>
  </si>
  <si>
    <t>Valor do veículo proposto (V0)</t>
  </si>
  <si>
    <t>Investimento médio total do chassis</t>
  </si>
  <si>
    <t>Remuneração mensal de capital do chassis</t>
  </si>
  <si>
    <t>Custo do compactador</t>
  </si>
  <si>
    <t>Valor do compactador proposto (V0)</t>
  </si>
  <si>
    <t>Investimento médio total do compactador</t>
  </si>
  <si>
    <t>Remuneração mensal de capital do compactador</t>
  </si>
  <si>
    <t>3.1.3. Impostos e Seguros</t>
  </si>
  <si>
    <t>IPVA</t>
  </si>
  <si>
    <t>Licenciamento e Seguro obrigatório</t>
  </si>
  <si>
    <t>Seguro contra terceiros</t>
  </si>
  <si>
    <t>Impostos e seguros mensais</t>
  </si>
  <si>
    <t>3.1.4. Consumos</t>
  </si>
  <si>
    <t>Quilometragem mensal</t>
  </si>
  <si>
    <t>Consumo</t>
  </si>
  <si>
    <t>Custo de óleo diesel S10 / km rodado</t>
  </si>
  <si>
    <t>km/l</t>
  </si>
  <si>
    <t>Custo mensal com óleo diesel S10</t>
  </si>
  <si>
    <t>km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</si>
  <si>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</si>
  <si>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</si>
  <si>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</si>
  <si>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</si>
  <si>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</si>
  <si>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</si>
  <si>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</si>
  <si>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</si>
  <si>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</si>
  <si>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</si>
  <si>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</si>
  <si>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</si>
  <si>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3.1.5. Manutenção</t>
  </si>
  <si>
    <t>Custo de manutenção dos caminhões</t>
  </si>
  <si>
    <t>3.1.6. Pneus</t>
  </si>
  <si>
    <t>Custo do jogo de pneus 275/80 R22.5</t>
  </si>
  <si>
    <t>Número de recapagens por pneu</t>
  </si>
  <si>
    <t>Custo de recapagem</t>
  </si>
  <si>
    <r>
      <rPr>
        <sz val="10"/>
        <color rgb="FF000000"/>
        <rFont val="Arial"/>
        <family val="2"/>
      </rPr>
      <t xml:space="preserve">Custo jg. compl. + </t>
    </r>
    <r>
      <rPr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 xml:space="preserve"> recap./ km rodado</t>
    </r>
  </si>
  <si>
    <t>km/jogo</t>
  </si>
  <si>
    <t>Custo mensal com pneus</t>
  </si>
  <si>
    <t>Custo de gasolina / km rodado</t>
  </si>
  <si>
    <t>Custo mensal com gasolina</t>
  </si>
  <si>
    <t>Custo de manutenção do Veículo Pequeno Porte</t>
  </si>
  <si>
    <t>Custo do jogo de pneus 175/70 R14</t>
  </si>
  <si>
    <t>Custo jg. compl.</t>
  </si>
  <si>
    <t>Custo Mensal com Veículos e Equipamentos (R$/mês)</t>
  </si>
  <si>
    <t>4. Ferramentas e Materiais de Consumo</t>
  </si>
  <si>
    <t>Recipiente térmico para água (5L)</t>
  </si>
  <si>
    <t>Pá de Concha</t>
  </si>
  <si>
    <t>Vassoura</t>
  </si>
  <si>
    <t>cj</t>
  </si>
  <si>
    <t>Custo Mensal com Ferramentas e Materiais de Consumo (R$/mês)</t>
  </si>
  <si>
    <t>5. Monitoramento da Frota</t>
  </si>
  <si>
    <t>Implantação dos equipamentos de monitoramento</t>
  </si>
  <si>
    <t>Custo mensal com implantação</t>
  </si>
  <si>
    <t>Manutenção dos equipamentos de monitoramento</t>
  </si>
  <si>
    <t>Custo mensal com manutenção</t>
  </si>
  <si>
    <t>Custo Mensal com Monitoramento da Frota (R$/mês)</t>
  </si>
  <si>
    <t>CUSTO TOTAL MENSAL COM DESPESAS OPERACIONAIS (R$/mês)</t>
  </si>
  <si>
    <t>Benefícios e despesas indiretas</t>
  </si>
  <si>
    <t>CUSTO MENSAL COM BDI (R$/mês)</t>
  </si>
  <si>
    <t>PREÇO MENSAL TOTAL (R$/mês)</t>
  </si>
  <si>
    <t>2. Composição dos Encargos Sociais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</si>
  <si>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</si>
  <si>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</si>
  <si>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</si>
  <si>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</si>
  <si>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</si>
  <si>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</si>
  <si>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</si>
  <si>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</si>
  <si>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</si>
  <si>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</si>
  <si>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</si>
  <si>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</si>
  <si>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</si>
  <si>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</si>
  <si>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</si>
  <si>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</si>
  <si>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</si>
  <si>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</si>
  <si>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</si>
  <si>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</si>
  <si>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</si>
  <si>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</si>
  <si>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</si>
  <si>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</si>
  <si>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</si>
  <si>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</si>
  <si>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</si>
  <si>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</si>
  <si>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</si>
  <si>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</si>
  <si>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</si>
  <si>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</si>
  <si>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</si>
  <si>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</si>
  <si>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</si>
  <si>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</si>
  <si>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</si>
  <si>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</si>
  <si>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>Férias indenizadas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</si>
  <si>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</si>
  <si>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</si>
  <si>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</si>
  <si>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</si>
  <si>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</si>
  <si>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</si>
  <si>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</si>
  <si>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</si>
  <si>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</si>
  <si>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</si>
  <si>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</si>
  <si>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</si>
  <si>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</si>
  <si>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</si>
  <si>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</si>
  <si>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3. CAGED</t>
  </si>
  <si>
    <t>Rio Grande do Sul  - Coleta de Resíduos Não-Perigosos - CNAE 38114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</si>
  <si>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</si>
  <si>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</si>
  <si>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</si>
  <si>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</si>
  <si>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</si>
  <si>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</si>
  <si>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</si>
  <si>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</si>
  <si>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</si>
  <si>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</si>
  <si>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</si>
  <si>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 xml:space="preserve"> </t>
  </si>
  <si>
    <t>Indicadores</t>
  </si>
  <si>
    <t>Estoque recuperado início do Período 01-01-2019</t>
  </si>
  <si>
    <t>Estoque recuperado final do Período 31-12-2019</t>
  </si>
  <si>
    <t>Variação Emprego Absoluta de 01-01-2019 a 31-12-2019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</si>
  <si>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</si>
  <si>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</si>
  <si>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</si>
  <si>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</si>
  <si>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</si>
  <si>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</si>
  <si>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</si>
  <si>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</si>
  <si>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</si>
  <si>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Multa FGTS</t>
  </si>
  <si>
    <t>Ajustado, de acordo com a nova Lei Federal nº 13.932/2019</t>
  </si>
  <si>
    <t>4.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</si>
  <si>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</si>
  <si>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</si>
  <si>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</si>
  <si>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</si>
  <si>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</si>
  <si>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</si>
  <si>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</si>
  <si>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</si>
  <si>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</si>
  <si>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</si>
  <si>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</si>
  <si>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</si>
  <si>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</si>
  <si>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</si>
  <si>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</si>
  <si>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</si>
  <si>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</si>
  <si>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</si>
  <si>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</si>
  <si>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</si>
  <si>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5. Depreciação Referencial TCE/RS (%)</t>
  </si>
  <si>
    <t>Idade do veículo (ano)</t>
  </si>
  <si>
    <t>Depreciação Média</t>
  </si>
  <si>
    <t>6. Remuneração de Capital</t>
  </si>
  <si>
    <t>Fórmula de cálculo da remuneração de capital:</t>
  </si>
  <si>
    <r>
      <rPr>
        <sz val="12"/>
        <color rgb="FF000000"/>
        <rFont val="Arial"/>
        <family val="2"/>
      </rPr>
      <t>J</t>
    </r>
    <r>
      <rPr>
        <vertAlign val="subscript"/>
        <sz val="12"/>
        <color rgb="FF000000"/>
        <rFont val="Arial"/>
        <family val="2"/>
      </rPr>
      <t>m</t>
    </r>
    <r>
      <rPr>
        <sz val="12"/>
        <color rgb="FF000000"/>
        <rFont val="Arial"/>
        <family val="2"/>
      </rPr>
      <t xml:space="preserve"> = remuneração de capital mensal</t>
    </r>
  </si>
  <si>
    <t>i = taxa de juros do mercado (sugere-se adotar a taxa SELIC)</t>
  </si>
  <si>
    <t>Im = investimento médio</t>
  </si>
  <si>
    <r>
      <rPr>
        <sz val="12"/>
        <color rgb="FF000000"/>
        <rFont val="Arial"/>
        <family val="2"/>
      </rPr>
      <t>V</t>
    </r>
    <r>
      <rPr>
        <vertAlign val="subscript"/>
        <sz val="12"/>
        <color rgb="FF000000"/>
        <rFont val="Arial"/>
        <family val="2"/>
      </rPr>
      <t>0</t>
    </r>
    <r>
      <rPr>
        <sz val="12"/>
        <color rgb="FF000000"/>
        <rFont val="Arial"/>
        <family val="2"/>
      </rPr>
      <t xml:space="preserve"> = valor inicial do bem</t>
    </r>
  </si>
  <si>
    <r>
      <rPr>
        <sz val="12"/>
        <color rgb="FF000000"/>
        <rFont val="Arial"/>
        <family val="2"/>
      </rPr>
      <t>V</t>
    </r>
    <r>
      <rPr>
        <vertAlign val="subscript"/>
        <sz val="12"/>
        <color rgb="FF000000"/>
        <rFont val="Arial"/>
        <family val="2"/>
      </rPr>
      <t>r</t>
    </r>
    <r>
      <rPr>
        <sz val="12"/>
        <color rgb="FF000000"/>
        <rFont val="Arial"/>
        <family val="2"/>
      </rPr>
      <t xml:space="preserve"> = valor residual do bem</t>
    </r>
  </si>
  <si>
    <t>n = vida útil do bem em anos</t>
  </si>
  <si>
    <t>1.2. Motorista Turno do Dia</t>
  </si>
  <si>
    <t>BAIXA TEMPORADA</t>
  </si>
  <si>
    <t>ALTA TEMPORADA</t>
  </si>
  <si>
    <t>SELETIVA</t>
  </si>
  <si>
    <t>ORGANICA</t>
  </si>
  <si>
    <t>DE 01 A 15/12/2025</t>
  </si>
  <si>
    <t>DE 16 A 31/12/2025</t>
  </si>
  <si>
    <t>DE 16 A 31/03/2026</t>
  </si>
  <si>
    <t>DE 01 A 15/03/2026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</si>
  <si>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</si>
  <si>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</si>
  <si>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</si>
  <si>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</si>
  <si>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</si>
  <si>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</si>
  <si>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</si>
  <si>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</si>
  <si>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</si>
  <si>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</si>
  <si>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</si>
  <si>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</si>
  <si>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RSD</t>
  </si>
  <si>
    <t>RSD ALTA</t>
  </si>
  <si>
    <t>RSD BAIXA</t>
  </si>
  <si>
    <t>15 de Dezembro a 31 de dezembro de 2024</t>
  </si>
  <si>
    <t>SOMA</t>
  </si>
  <si>
    <t>SOMA TOTAL</t>
  </si>
  <si>
    <t>Inclui a seletiva</t>
  </si>
  <si>
    <t>Sem a Seletiva</t>
  </si>
  <si>
    <t>Acréscimo de 10% - suprir frota de reserva</t>
  </si>
  <si>
    <t>Quantidade média de resíduos coletados por mês</t>
  </si>
  <si>
    <t>PREÇO POR TONELADA COLETADA: (A / B )</t>
  </si>
  <si>
    <t>R$/tonelada</t>
  </si>
  <si>
    <t>toneladas</t>
  </si>
  <si>
    <t>MÉDIA Mensal</t>
  </si>
  <si>
    <t>PLANILHA RESUMO DOS RSU - COLETA ORGÂNICA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</si>
  <si>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</si>
  <si>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</si>
  <si>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</si>
  <si>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</si>
  <si>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</si>
  <si>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</si>
  <si>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</si>
  <si>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</si>
  <si>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</si>
  <si>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</si>
  <si>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</si>
  <si>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</si>
  <si>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</si>
  <si>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</si>
  <si>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PLANILHA RESUMO DOS RSU - COLETA SELETIVA</t>
  </si>
  <si>
    <t>ANO</t>
  </si>
  <si>
    <t>TONELADAS</t>
  </si>
  <si>
    <t xml:space="preserve">TONELADAS </t>
  </si>
  <si>
    <t>MEMORIA DE CÁLCULO</t>
  </si>
  <si>
    <t>OK</t>
  </si>
  <si>
    <t>BAIXA</t>
  </si>
  <si>
    <t>ALTA</t>
  </si>
  <si>
    <t>Diferença</t>
  </si>
  <si>
    <t xml:space="preserve">      </t>
  </si>
  <si>
    <t>VALOR PARA 1 CAMINHÃO</t>
  </si>
  <si>
    <t>CONSIDERANDO 2 TURNOS DE TRABALHO: DÁS 06:00 ÀS 14:00 E DÁS 14:00 ÀS 22:00</t>
  </si>
  <si>
    <t>Orientações para preenchimento:</t>
  </si>
  <si>
    <t>1. Esta planilha é somente um modelo de cálculo expedito e deve ser ajustada conforme cada caso concreto.</t>
  </si>
  <si>
    <t>2. Dimensionar separadamente setores atendidos por veículos de capacidade de carga diferentes.</t>
  </si>
  <si>
    <t>3. Preencher somente células em amarelo</t>
  </si>
  <si>
    <t>O TCE/RS não se responsabiliza pelo uso incorreto desta planilha.</t>
  </si>
  <si>
    <t>O orçamento deve ser realizado por responsável técnico habilitado e é de responsabilidade do seu autor.</t>
  </si>
  <si>
    <t>Indicador</t>
  </si>
  <si>
    <t>Unid</t>
  </si>
  <si>
    <t>População (H)</t>
  </si>
  <si>
    <t>hab</t>
  </si>
  <si>
    <t>Geração per capita (G)</t>
  </si>
  <si>
    <t>Kg/hab.dia</t>
  </si>
  <si>
    <t>Geração total diária (Qd)</t>
  </si>
  <si>
    <t>ton/dia</t>
  </si>
  <si>
    <t>Geração Mensal</t>
  </si>
  <si>
    <t>ton</t>
  </si>
  <si>
    <t>Número de dias de coleta por semana (Dc)</t>
  </si>
  <si>
    <t>Quantitativo diário de coleta (Qc)</t>
  </si>
  <si>
    <t>Densidade RSU compactado</t>
  </si>
  <si>
    <t>Kg/m³</t>
  </si>
  <si>
    <t>Tipo de Veículo (1 = toco, 2 = truck)</t>
  </si>
  <si>
    <t>Capacidade do Compactador</t>
  </si>
  <si>
    <t>m³</t>
  </si>
  <si>
    <t>Capacidade nominal de carga (Cc)</t>
  </si>
  <si>
    <t>Número de Cargas por dia (Nc)</t>
  </si>
  <si>
    <t>Número total de percursos de coleta por veículo, por dia (Np)</t>
  </si>
  <si>
    <t>Número de veículos da Frota (F)</t>
  </si>
  <si>
    <t>Media</t>
  </si>
  <si>
    <t>Número meses</t>
  </si>
  <si>
    <t>Jaqueta com refletivo (NBR 15.292)</t>
  </si>
  <si>
    <t>2.1. Uniformes e EPIs para Coletor</t>
  </si>
  <si>
    <t>2.2. Uniformes e EPIs para Motorista (Demais Categorias)</t>
  </si>
  <si>
    <t>1.3 Fiscal de Coleta</t>
  </si>
  <si>
    <t>1.3 Fiscal de Coleta (Supervisor)</t>
  </si>
  <si>
    <t>Fiscal de Coleta (Supervisor)</t>
  </si>
  <si>
    <t>3.2. Veículo de Apoio (Pequeno Porte – Caminhonete)</t>
  </si>
  <si>
    <t>1.4 Assistente Administrativo</t>
  </si>
  <si>
    <t>Camisa de brim com refletivo</t>
  </si>
  <si>
    <t>Óculos Proteção Contra Radiação Solar</t>
  </si>
  <si>
    <t>Total mensal</t>
  </si>
  <si>
    <t>Provisão Financeira</t>
  </si>
  <si>
    <t>Total mensal Beneficio Social</t>
  </si>
  <si>
    <t>Valor Mensal para Motorista</t>
  </si>
  <si>
    <t>Total mensal Seguro de Vida</t>
  </si>
  <si>
    <t>Ano 2026 (Zero KM)</t>
  </si>
  <si>
    <t>Cone de Sinalização</t>
  </si>
  <si>
    <t>Publicidade (adesivos veículos - 1 cj por caminhão)</t>
  </si>
  <si>
    <t>7. Benefícios e Despesas Indiretas - BDI</t>
  </si>
  <si>
    <t>Locação de Terreno com Garagem e Instalações</t>
  </si>
  <si>
    <t xml:space="preserve">COLETA E TRANSPORTE DE R S D (SELETIVO)
Planilha de Composição de Custos - Período: 01 janeiro a 31 de dezembro de cada ano.
</t>
  </si>
  <si>
    <t>6. Instalações / Canteiro</t>
  </si>
  <si>
    <t>7. Dimensionamento da frota ALTA TEMPORADA</t>
  </si>
  <si>
    <t>7. Dimensionamento da frota BAIXA TEMPORADA</t>
  </si>
  <si>
    <t>Coletores</t>
  </si>
  <si>
    <t>1.4. Vale Transporte</t>
  </si>
  <si>
    <t>1.5. Vale-refeição (diário)</t>
  </si>
  <si>
    <t>1.6. Auxílio Alimentação (mensal)</t>
  </si>
  <si>
    <t>1.7. Plano de Beneficio Social</t>
  </si>
  <si>
    <t>1.8. Seguro de vida para Motorista</t>
  </si>
  <si>
    <t>1.9. Prêmio Assiduidade (Coletores)</t>
  </si>
  <si>
    <r>
      <t>3.1. Veículo Coletor Compactador</t>
    </r>
    <r>
      <rPr>
        <sz val="10"/>
        <color rgb="FFFF0000"/>
        <rFont val="Arial"/>
        <family val="2"/>
      </rPr>
      <t xml:space="preserve"> 12</t>
    </r>
    <r>
      <rPr>
        <sz val="10"/>
        <color rgb="FF000000"/>
        <rFont val="Arial"/>
        <family val="2"/>
      </rPr>
      <t xml:space="preserve"> m³ ou maior</t>
    </r>
  </si>
  <si>
    <t>Vale-refeição (diário)</t>
  </si>
  <si>
    <t>Seguro de vida para Motorista</t>
  </si>
  <si>
    <r>
      <t xml:space="preserve">3.1. Veículo Coletor Baú </t>
    </r>
    <r>
      <rPr>
        <sz val="10"/>
        <color rgb="FFFF0000"/>
        <rFont val="Arial"/>
        <family val="2"/>
      </rPr>
      <t>12</t>
    </r>
    <r>
      <rPr>
        <sz val="10"/>
        <color rgb="FF000000"/>
        <rFont val="Arial"/>
        <family val="2"/>
      </rPr>
      <t xml:space="preserve"> m³ ou maior</t>
    </r>
  </si>
  <si>
    <r>
      <t xml:space="preserve">COLETA E TRANSPORTE DE R S D (ORGÂNICO)
</t>
    </r>
    <r>
      <rPr>
        <sz val="16"/>
        <color rgb="FF000000"/>
        <rFont val="Arial"/>
        <family val="2"/>
      </rPr>
      <t>BAIXA TEMPORADA</t>
    </r>
    <r>
      <rPr>
        <b/>
        <sz val="13"/>
        <color rgb="FF000000"/>
        <rFont val="Arial1"/>
      </rPr>
      <t xml:space="preserve">
</t>
    </r>
    <r>
      <rPr>
        <sz val="10"/>
        <color rgb="FF000000"/>
        <rFont val="Arial"/>
        <family val="2"/>
      </rPr>
      <t>Planilha de Composição de Custos - Período: 01 de março a 15 de dezembro de cada ano</t>
    </r>
  </si>
  <si>
    <r>
      <t xml:space="preserve">COLETA E TRANSPORTE DE R S D (ORGÂNICO)
</t>
    </r>
    <r>
      <rPr>
        <sz val="16"/>
        <color rgb="FF000000"/>
        <rFont val="Arial"/>
        <family val="2"/>
      </rPr>
      <t>ALTA TEMPORADA</t>
    </r>
    <r>
      <rPr>
        <b/>
        <sz val="13"/>
        <color rgb="FF000000"/>
        <rFont val="Arial1"/>
      </rPr>
      <t xml:space="preserve">
</t>
    </r>
    <r>
      <rPr>
        <sz val="10"/>
        <color rgb="FF000000"/>
        <rFont val="Arial"/>
        <family val="2"/>
      </rPr>
      <t>Planilha de Composição de Custos - Período: 16 de dezembro a 28 de fevereiro de cada ano</t>
    </r>
  </si>
  <si>
    <t>3.1. Veículo Coletor Compactador 12 m³ ou maior</t>
  </si>
  <si>
    <t>06 CAMINHOES; 12 MOTORISTAS; 36 GARIS, 02 FISCAIS</t>
  </si>
  <si>
    <t>6. Benefícios e Despesas Indiretas -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</si>
</sst>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&quot;#,##0.00&quot; &quot;;&quot; (&quot;#,##0.00&quot;)&quot;;&quot; -&quot;#&quot; &quot;;&quot; &quot;@&quot; &quot;"/>
    <numFmt numFmtId="165" formatCode="&quot; &quot;#,##0.000&quot; &quot;;&quot; (&quot;#,##0.000&quot;)&quot;;&quot; -&quot;#&quot; &quot;;&quot; &quot;@&quot; &quot;"/>
    <numFmt numFmtId="166" formatCode="&quot; &quot;#,##0&quot; &quot;;&quot; (&quot;#,##0&quot;)&quot;;&quot; -&quot;#&quot; &quot;;&quot; &quot;@&quot; &quot;"/>
    <numFmt numFmtId="167" formatCode="&quot;R$ &quot;#,##0.00"/>
    <numFmt numFmtId="168" formatCode="0.0000"/>
    <numFmt numFmtId="169" formatCode="&quot; &quot;#,##0.00&quot; &quot;;&quot;-&quot;#,##0.00&quot; &quot;;&quot; -&quot;#&quot; &quot;;&quot; &quot;@&quot; &quot;"/>
    <numFmt numFmtId="170" formatCode="&quot;R$ &quot;#,##0.00&quot; &quot;;&quot;(R$ &quot;#,##0.00&quot;)&quot;"/>
    <numFmt numFmtId="171" formatCode="_-* #,##0.000_-;\-* #,##0.000_-;_-* &quot;-&quot;??_-;_-@_-"/>
    <numFmt numFmtId="172" formatCode="_-* #,##0.00_-;\-* #,##0.00_-;_-* &quot;-&quot;?_-;_-@_-"/>
    <numFmt numFmtId="173" formatCode="_-* #,##0_-;\-* #,##0_-;_-* &quot;-&quot;?_-;_-@_-"/>
    <numFmt numFmtId="174" formatCode="0.00000000"/>
    <numFmt numFmtId="175" formatCode="0.00000"/>
  </numFmts>
  <fonts count="53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u/>
      <sz val="10"/>
      <color rgb="FF0000FF"/>
      <name val="Arial1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1"/>
    </font>
    <font>
      <sz val="10"/>
      <color rgb="FF000000"/>
      <name val="Arial1"/>
    </font>
    <font>
      <b/>
      <sz val="13"/>
      <color rgb="FF000000"/>
      <name val="Arial1"/>
    </font>
    <font>
      <sz val="16"/>
      <color rgb="FF000000"/>
      <name val="Arial"/>
      <family val="2"/>
    </font>
    <font>
      <b/>
      <sz val="10"/>
      <color rgb="FF000000"/>
      <name val="Arial1"/>
    </font>
    <font>
      <b/>
      <sz val="9"/>
      <color rgb="FF000000"/>
      <name val="Arial"/>
      <family val="2"/>
    </font>
    <font>
      <b/>
      <sz val="9"/>
      <color rgb="FF000000"/>
      <name val="Arial1"/>
    </font>
    <font>
      <b/>
      <u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1"/>
    </font>
    <font>
      <sz val="10"/>
      <color rgb="FFFF0000"/>
      <name val="Arial1"/>
    </font>
    <font>
      <sz val="10"/>
      <color rgb="FFFF0000"/>
      <name val="Arial"/>
      <family val="2"/>
    </font>
    <font>
      <i/>
      <sz val="10"/>
      <color rgb="FF000000"/>
      <name val="Arial1"/>
    </font>
    <font>
      <u/>
      <sz val="10"/>
      <color rgb="FF000000"/>
      <name val="Arial1"/>
    </font>
    <font>
      <sz val="9"/>
      <color rgb="FF000000"/>
      <name val="Arial1"/>
    </font>
    <font>
      <sz val="11"/>
      <color rgb="FF000000"/>
      <name val="Arial1"/>
    </font>
    <font>
      <b/>
      <sz val="14"/>
      <color rgb="FF000000"/>
      <name val="Arial1"/>
    </font>
    <font>
      <b/>
      <sz val="11"/>
      <color rgb="FF000000"/>
      <name val="Arial1"/>
    </font>
    <font>
      <sz val="13"/>
      <color rgb="FF000000"/>
      <name val="Arial1"/>
    </font>
    <font>
      <sz val="12"/>
      <color rgb="FF000000"/>
      <name val="Arial1"/>
    </font>
    <font>
      <vertAlign val="subscript"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1"/>
    </font>
    <font>
      <sz val="10"/>
      <color theme="1"/>
      <name val="Arial1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rgb="FFFF0000"/>
      <name val="Arial1"/>
    </font>
  </fonts>
  <fills count="2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6D9F1"/>
        <bgColor rgb="FFC6D9F1"/>
      </patternFill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DDD9C3"/>
        <bgColor rgb="FFDDD9C3"/>
      </patternFill>
    </fill>
    <fill>
      <patternFill patternType="solid">
        <fgColor rgb="FFEEECE1"/>
        <bgColor rgb="FFEEECE1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3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Border="0" applyProtection="0"/>
    <xf numFmtId="0" fontId="5" fillId="6" borderId="0" applyNumberFormat="0" applyBorder="0" applyProtection="0"/>
    <xf numFmtId="164" fontId="1" fillId="0" borderId="0" applyFont="0" applyBorder="0" applyProtection="0"/>
    <xf numFmtId="0" fontId="6" fillId="0" borderId="0" applyNumberFormat="0" applyBorder="0" applyProtection="0"/>
    <xf numFmtId="9" fontId="1" fillId="0" borderId="0" applyFon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2">
    <xf numFmtId="0" fontId="0" fillId="0" borderId="0" xfId="0"/>
    <xf numFmtId="0" fontId="16" fillId="0" borderId="0" xfId="0" applyFont="1" applyAlignment="1">
      <alignment horizontal="center" vertical="center"/>
    </xf>
    <xf numFmtId="164" fontId="17" fillId="0" borderId="0" xfId="11" applyFont="1" applyAlignment="1">
      <alignment vertical="center"/>
    </xf>
    <xf numFmtId="0" fontId="17" fillId="0" borderId="0" xfId="0" applyFont="1" applyAlignment="1">
      <alignment vertical="center"/>
    </xf>
    <xf numFmtId="164" fontId="0" fillId="0" borderId="0" xfId="11" applyFont="1" applyAlignment="1">
      <alignment vertical="center"/>
    </xf>
    <xf numFmtId="0" fontId="0" fillId="0" borderId="0" xfId="0" applyAlignment="1">
      <alignment vertical="center"/>
    </xf>
    <xf numFmtId="164" fontId="20" fillId="0" borderId="4" xfId="11" applyFont="1" applyBorder="1" applyAlignment="1">
      <alignment horizontal="center" vertical="center"/>
    </xf>
    <xf numFmtId="164" fontId="0" fillId="0" borderId="5" xfId="11" applyFont="1" applyBorder="1" applyAlignment="1">
      <alignment vertical="center"/>
    </xf>
    <xf numFmtId="164" fontId="20" fillId="0" borderId="5" xfId="11" applyFont="1" applyBorder="1" applyAlignment="1">
      <alignment vertical="center"/>
    </xf>
    <xf numFmtId="164" fontId="20" fillId="0" borderId="4" xfId="11" applyFont="1" applyBorder="1" applyAlignment="1">
      <alignment vertical="center"/>
    </xf>
    <xf numFmtId="164" fontId="20" fillId="0" borderId="3" xfId="11" applyFont="1" applyBorder="1" applyAlignment="1">
      <alignment horizontal="center" vertical="center"/>
    </xf>
    <xf numFmtId="164" fontId="20" fillId="0" borderId="5" xfId="0" applyNumberFormat="1" applyFont="1" applyBorder="1" applyAlignment="1">
      <alignment vertical="center"/>
    </xf>
    <xf numFmtId="167" fontId="20" fillId="0" borderId="3" xfId="0" applyNumberFormat="1" applyFont="1" applyBorder="1" applyAlignment="1">
      <alignment vertical="center"/>
    </xf>
    <xf numFmtId="10" fontId="20" fillId="0" borderId="6" xfId="13" applyNumberFormat="1" applyFont="1" applyBorder="1" applyAlignment="1">
      <alignment vertical="center"/>
    </xf>
    <xf numFmtId="164" fontId="20" fillId="0" borderId="0" xfId="11" applyFont="1" applyAlignment="1">
      <alignment vertical="center"/>
    </xf>
    <xf numFmtId="0" fontId="20" fillId="0" borderId="0" xfId="0" applyFont="1" applyAlignment="1">
      <alignment vertical="center"/>
    </xf>
    <xf numFmtId="164" fontId="0" fillId="0" borderId="4" xfId="11" applyFon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7" fontId="0" fillId="0" borderId="3" xfId="0" applyNumberFormat="1" applyBorder="1" applyAlignment="1">
      <alignment vertical="center"/>
    </xf>
    <xf numFmtId="10" fontId="0" fillId="0" borderId="6" xfId="13" applyNumberFormat="1" applyFont="1" applyBorder="1" applyAlignment="1">
      <alignment vertical="center"/>
    </xf>
    <xf numFmtId="164" fontId="20" fillId="0" borderId="4" xfId="11" applyFont="1" applyBorder="1" applyAlignment="1">
      <alignment horizontal="left" vertical="center"/>
    </xf>
    <xf numFmtId="4" fontId="20" fillId="0" borderId="5" xfId="0" applyNumberFormat="1" applyFont="1" applyBorder="1" applyAlignment="1">
      <alignment horizontal="center" vertical="center"/>
    </xf>
    <xf numFmtId="164" fontId="17" fillId="0" borderId="4" xfId="11" applyFont="1" applyBorder="1" applyAlignment="1">
      <alignment horizontal="left" vertical="center"/>
    </xf>
    <xf numFmtId="4" fontId="0" fillId="0" borderId="5" xfId="0" applyNumberFormat="1" applyBorder="1" applyAlignment="1">
      <alignment horizontal="center" vertical="center"/>
    </xf>
    <xf numFmtId="10" fontId="17" fillId="0" borderId="6" xfId="13" applyNumberFormat="1" applyFont="1" applyBorder="1" applyAlignment="1">
      <alignment vertical="center"/>
    </xf>
    <xf numFmtId="170" fontId="20" fillId="0" borderId="4" xfId="0" applyNumberFormat="1" applyFont="1" applyBorder="1" applyAlignment="1">
      <alignment vertical="center"/>
    </xf>
    <xf numFmtId="9" fontId="20" fillId="0" borderId="3" xfId="13" applyFont="1" applyBorder="1" applyAlignment="1">
      <alignment vertical="center"/>
    </xf>
    <xf numFmtId="164" fontId="20" fillId="0" borderId="7" xfId="11" applyFont="1" applyBorder="1" applyAlignment="1">
      <alignment horizontal="right" vertical="center"/>
    </xf>
    <xf numFmtId="164" fontId="17" fillId="0" borderId="4" xfId="11" applyFont="1" applyBorder="1" applyAlignment="1">
      <alignment vertical="center"/>
    </xf>
    <xf numFmtId="164" fontId="17" fillId="0" borderId="5" xfId="11" applyFont="1" applyBorder="1" applyAlignment="1">
      <alignment vertical="center"/>
    </xf>
    <xf numFmtId="0" fontId="0" fillId="0" borderId="5" xfId="0" applyBorder="1" applyAlignment="1">
      <alignment vertical="center"/>
    </xf>
    <xf numFmtId="1" fontId="17" fillId="0" borderId="3" xfId="11" applyNumberFormat="1" applyFont="1" applyBorder="1" applyAlignment="1">
      <alignment horizontal="center" vertical="center"/>
    </xf>
    <xf numFmtId="164" fontId="20" fillId="0" borderId="8" xfId="11" applyFont="1" applyBorder="1" applyAlignment="1">
      <alignment vertical="center"/>
    </xf>
    <xf numFmtId="4" fontId="20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" fontId="20" fillId="0" borderId="9" xfId="11" applyNumberFormat="1" applyFont="1" applyBorder="1" applyAlignment="1">
      <alignment horizontal="center" vertical="center"/>
    </xf>
    <xf numFmtId="164" fontId="20" fillId="0" borderId="10" xfId="1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4" fontId="17" fillId="0" borderId="11" xfId="11" applyFont="1" applyBorder="1" applyAlignment="1">
      <alignment vertical="center"/>
    </xf>
    <xf numFmtId="0" fontId="20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1" fontId="17" fillId="0" borderId="0" xfId="11" applyNumberFormat="1" applyFont="1" applyAlignment="1">
      <alignment horizontal="center" vertical="center"/>
    </xf>
    <xf numFmtId="166" fontId="17" fillId="0" borderId="0" xfId="11" applyNumberFormat="1" applyFont="1" applyAlignment="1">
      <alignment horizontal="center" vertical="center"/>
    </xf>
    <xf numFmtId="9" fontId="20" fillId="10" borderId="6" xfId="13" applyFont="1" applyFill="1" applyBorder="1" applyAlignment="1">
      <alignment vertical="center"/>
    </xf>
    <xf numFmtId="166" fontId="20" fillId="0" borderId="0" xfId="11" applyNumberFormat="1" applyFont="1" applyAlignment="1">
      <alignment horizontal="center" vertical="center"/>
    </xf>
    <xf numFmtId="0" fontId="22" fillId="11" borderId="3" xfId="0" applyFont="1" applyFill="1" applyBorder="1" applyAlignment="1">
      <alignment horizontal="center" vertical="center"/>
    </xf>
    <xf numFmtId="164" fontId="22" fillId="11" borderId="3" xfId="11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164" fontId="17" fillId="10" borderId="9" xfId="11" applyFont="1" applyFill="1" applyBorder="1" applyAlignment="1">
      <alignment horizontal="center" vertical="center"/>
    </xf>
    <xf numFmtId="164" fontId="17" fillId="0" borderId="9" xfId="11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2" fontId="17" fillId="10" borderId="3" xfId="0" applyNumberFormat="1" applyFont="1" applyFill="1" applyBorder="1" applyAlignment="1">
      <alignment horizontal="center" vertical="center"/>
    </xf>
    <xf numFmtId="164" fontId="17" fillId="0" borderId="3" xfId="11" applyFont="1" applyBorder="1" applyAlignment="1">
      <alignment horizontal="center" vertical="center"/>
    </xf>
    <xf numFmtId="0" fontId="20" fillId="0" borderId="7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164" fontId="20" fillId="0" borderId="0" xfId="11" applyFont="1" applyAlignment="1">
      <alignment horizontal="center" vertical="center"/>
    </xf>
    <xf numFmtId="164" fontId="20" fillId="0" borderId="7" xfId="11" applyFont="1" applyBorder="1" applyAlignment="1">
      <alignment horizontal="center" vertical="center"/>
    </xf>
    <xf numFmtId="164" fontId="17" fillId="12" borderId="3" xfId="11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164" fontId="17" fillId="0" borderId="0" xfId="11" applyFont="1" applyAlignment="1">
      <alignment horizontal="right" vertical="center"/>
    </xf>
    <xf numFmtId="164" fontId="17" fillId="0" borderId="3" xfId="11" applyFont="1" applyBorder="1" applyAlignment="1">
      <alignment vertical="center"/>
    </xf>
    <xf numFmtId="164" fontId="20" fillId="11" borderId="6" xfId="1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" fontId="17" fillId="10" borderId="3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0" fillId="0" borderId="5" xfId="0" applyFont="1" applyBorder="1" applyAlignment="1">
      <alignment horizontal="center" vertical="center"/>
    </xf>
    <xf numFmtId="164" fontId="20" fillId="0" borderId="5" xfId="11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166" fontId="17" fillId="0" borderId="3" xfId="11" applyNumberFormat="1" applyFont="1" applyBorder="1" applyAlignment="1">
      <alignment horizontal="center" vertical="center"/>
    </xf>
    <xf numFmtId="164" fontId="17" fillId="10" borderId="0" xfId="11" applyFont="1" applyFill="1" applyAlignment="1">
      <alignment vertical="center"/>
    </xf>
    <xf numFmtId="0" fontId="26" fillId="0" borderId="0" xfId="0" applyFont="1" applyAlignment="1">
      <alignment vertical="center"/>
    </xf>
    <xf numFmtId="0" fontId="17" fillId="10" borderId="0" xfId="0" applyFont="1" applyFill="1" applyAlignment="1">
      <alignment vertical="center"/>
    </xf>
    <xf numFmtId="166" fontId="17" fillId="0" borderId="3" xfId="11" applyNumberFormat="1" applyFont="1" applyBorder="1" applyAlignment="1">
      <alignment vertical="center"/>
    </xf>
    <xf numFmtId="164" fontId="20" fillId="11" borderId="3" xfId="11" applyFont="1" applyFill="1" applyBorder="1" applyAlignment="1">
      <alignment vertical="center"/>
    </xf>
    <xf numFmtId="164" fontId="17" fillId="10" borderId="3" xfId="11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164" fontId="20" fillId="0" borderId="6" xfId="11" applyFont="1" applyBorder="1" applyAlignment="1">
      <alignment vertical="center"/>
    </xf>
    <xf numFmtId="0" fontId="22" fillId="11" borderId="3" xfId="0" applyFont="1" applyFill="1" applyBorder="1" applyAlignment="1">
      <alignment horizontal="center" vertical="center" wrapText="1"/>
    </xf>
    <xf numFmtId="13" fontId="17" fillId="10" borderId="3" xfId="0" applyNumberFormat="1" applyFont="1" applyFill="1" applyBorder="1" applyAlignment="1">
      <alignment horizontal="center" vertical="center"/>
    </xf>
    <xf numFmtId="0" fontId="17" fillId="0" borderId="3" xfId="0" applyFont="1" applyBorder="1"/>
    <xf numFmtId="0" fontId="17" fillId="0" borderId="3" xfId="0" applyFont="1" applyBorder="1" applyAlignment="1">
      <alignment horizontal="center"/>
    </xf>
    <xf numFmtId="164" fontId="17" fillId="0" borderId="0" xfId="11" applyFont="1"/>
    <xf numFmtId="0" fontId="17" fillId="0" borderId="0" xfId="0" applyFont="1"/>
    <xf numFmtId="1" fontId="17" fillId="0" borderId="3" xfId="0" applyNumberFormat="1" applyFont="1" applyBorder="1" applyAlignment="1">
      <alignment horizontal="center" vertical="center"/>
    </xf>
    <xf numFmtId="164" fontId="17" fillId="0" borderId="6" xfId="11" applyFont="1" applyBorder="1" applyAlignment="1">
      <alignment vertical="center"/>
    </xf>
    <xf numFmtId="164" fontId="20" fillId="11" borderId="3" xfId="11" applyFont="1" applyFill="1" applyBorder="1" applyAlignment="1">
      <alignment horizontal="center" vertical="center"/>
    </xf>
    <xf numFmtId="0" fontId="6" fillId="0" borderId="0" xfId="12" applyAlignment="1">
      <alignment vertical="center"/>
    </xf>
    <xf numFmtId="164" fontId="17" fillId="0" borderId="0" xfId="11" applyFont="1" applyAlignment="1">
      <alignment horizontal="center" vertical="center"/>
    </xf>
    <xf numFmtId="169" fontId="17" fillId="0" borderId="0" xfId="0" applyNumberFormat="1" applyFont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164" fontId="20" fillId="0" borderId="12" xfId="11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0" fontId="22" fillId="11" borderId="7" xfId="0" applyFont="1" applyFill="1" applyBorder="1" applyAlignment="1">
      <alignment horizontal="center" vertical="center"/>
    </xf>
    <xf numFmtId="164" fontId="22" fillId="11" borderId="7" xfId="11" applyFont="1" applyFill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7" fillId="10" borderId="3" xfId="0" applyNumberFormat="1" applyFont="1" applyFill="1" applyBorder="1" applyAlignment="1">
      <alignment vertical="center"/>
    </xf>
    <xf numFmtId="4" fontId="17" fillId="10" borderId="9" xfId="0" applyNumberFormat="1" applyFont="1" applyFill="1" applyBorder="1" applyAlignment="1">
      <alignment horizontal="center" vertical="center"/>
    </xf>
    <xf numFmtId="165" fontId="17" fillId="10" borderId="9" xfId="11" applyNumberFormat="1" applyFont="1" applyFill="1" applyBorder="1" applyAlignment="1">
      <alignment horizontal="center" vertical="center"/>
    </xf>
    <xf numFmtId="165" fontId="17" fillId="0" borderId="9" xfId="11" applyNumberFormat="1" applyFont="1" applyBorder="1" applyAlignment="1">
      <alignment horizontal="center" vertical="center"/>
    </xf>
    <xf numFmtId="4" fontId="17" fillId="10" borderId="3" xfId="0" applyNumberFormat="1" applyFont="1" applyFill="1" applyBorder="1" applyAlignment="1">
      <alignment horizontal="center" vertical="center"/>
    </xf>
    <xf numFmtId="165" fontId="17" fillId="0" borderId="3" xfId="11" applyNumberFormat="1" applyFont="1" applyBorder="1" applyAlignment="1">
      <alignment horizontal="center" vertical="center"/>
    </xf>
    <xf numFmtId="166" fontId="20" fillId="0" borderId="3" xfId="11" applyNumberFormat="1" applyFont="1" applyBorder="1" applyAlignment="1">
      <alignment horizontal="center" vertical="center"/>
    </xf>
    <xf numFmtId="165" fontId="20" fillId="0" borderId="3" xfId="11" applyNumberFormat="1" applyFont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/>
    </xf>
    <xf numFmtId="3" fontId="17" fillId="10" borderId="3" xfId="0" applyNumberFormat="1" applyFont="1" applyFill="1" applyBorder="1" applyAlignment="1">
      <alignment horizontal="center" vertical="center"/>
    </xf>
    <xf numFmtId="0" fontId="29" fillId="0" borderId="0" xfId="12" applyFont="1" applyAlignment="1">
      <alignment vertical="center"/>
    </xf>
    <xf numFmtId="0" fontId="0" fillId="0" borderId="3" xfId="0" applyBorder="1" applyAlignment="1">
      <alignment vertical="center"/>
    </xf>
    <xf numFmtId="0" fontId="30" fillId="0" borderId="3" xfId="0" applyFont="1" applyBorder="1" applyAlignment="1">
      <alignment horizontal="center" vertical="center"/>
    </xf>
    <xf numFmtId="164" fontId="28" fillId="0" borderId="3" xfId="11" applyFont="1" applyBorder="1" applyAlignment="1">
      <alignment horizontal="center" vertical="center"/>
    </xf>
    <xf numFmtId="164" fontId="26" fillId="0" borderId="0" xfId="11" applyFont="1" applyAlignment="1">
      <alignment vertical="center"/>
    </xf>
    <xf numFmtId="164" fontId="16" fillId="0" borderId="0" xfId="11" applyFont="1" applyAlignment="1">
      <alignment vertical="center"/>
    </xf>
    <xf numFmtId="0" fontId="31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vertical="center"/>
    </xf>
    <xf numFmtId="0" fontId="31" fillId="0" borderId="3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10" fontId="31" fillId="0" borderId="3" xfId="0" applyNumberFormat="1" applyFont="1" applyBorder="1" applyAlignment="1">
      <alignment horizontal="right" vertical="center"/>
    </xf>
    <xf numFmtId="0" fontId="33" fillId="0" borderId="3" xfId="0" applyFont="1" applyBorder="1" applyAlignment="1">
      <alignment horizontal="left" vertical="center"/>
    </xf>
    <xf numFmtId="10" fontId="33" fillId="0" borderId="3" xfId="0" applyNumberFormat="1" applyFont="1" applyBorder="1" applyAlignment="1">
      <alignment horizontal="right" vertical="center"/>
    </xf>
    <xf numFmtId="0" fontId="31" fillId="13" borderId="3" xfId="0" applyFont="1" applyFill="1" applyBorder="1" applyAlignment="1">
      <alignment horizontal="left" vertical="center"/>
    </xf>
    <xf numFmtId="0" fontId="33" fillId="13" borderId="3" xfId="0" applyFont="1" applyFill="1" applyBorder="1" applyAlignment="1">
      <alignment horizontal="left" vertical="center"/>
    </xf>
    <xf numFmtId="10" fontId="33" fillId="13" borderId="3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10" fontId="17" fillId="0" borderId="0" xfId="0" applyNumberFormat="1" applyFont="1"/>
    <xf numFmtId="9" fontId="31" fillId="0" borderId="0" xfId="13" applyFont="1" applyAlignment="1">
      <alignment horizontal="right" vertical="center"/>
    </xf>
    <xf numFmtId="0" fontId="31" fillId="0" borderId="3" xfId="0" applyFont="1" applyBorder="1" applyAlignment="1">
      <alignment horizontal="left" vertical="center" wrapText="1"/>
    </xf>
    <xf numFmtId="0" fontId="31" fillId="14" borderId="3" xfId="0" applyFont="1" applyFill="1" applyBorder="1" applyAlignment="1">
      <alignment horizontal="left" vertical="center"/>
    </xf>
    <xf numFmtId="0" fontId="33" fillId="14" borderId="3" xfId="0" applyFont="1" applyFill="1" applyBorder="1" applyAlignment="1">
      <alignment horizontal="left" vertical="center"/>
    </xf>
    <xf numFmtId="10" fontId="33" fillId="14" borderId="3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left" vertical="center"/>
    </xf>
    <xf numFmtId="10" fontId="33" fillId="0" borderId="0" xfId="0" applyNumberFormat="1" applyFont="1" applyAlignment="1">
      <alignment horizontal="right" vertical="center"/>
    </xf>
    <xf numFmtId="0" fontId="17" fillId="15" borderId="0" xfId="0" applyFont="1" applyFill="1" applyAlignment="1">
      <alignment horizontal="left" vertical="center"/>
    </xf>
    <xf numFmtId="10" fontId="31" fillId="0" borderId="0" xfId="0" applyNumberFormat="1" applyFont="1" applyAlignment="1">
      <alignment horizontal="right" vertical="center"/>
    </xf>
    <xf numFmtId="0" fontId="31" fillId="15" borderId="0" xfId="0" applyFont="1" applyFill="1" applyAlignment="1">
      <alignment horizontal="left" vertical="center"/>
    </xf>
    <xf numFmtId="0" fontId="34" fillId="0" borderId="0" xfId="0" applyFont="1" applyAlignment="1">
      <alignment horizontal="justify" vertical="center"/>
    </xf>
    <xf numFmtId="0" fontId="6" fillId="0" borderId="0" xfId="12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3" fillId="0" borderId="4" xfId="0" applyFont="1" applyBorder="1"/>
    <xf numFmtId="0" fontId="31" fillId="0" borderId="6" xfId="0" applyFont="1" applyBorder="1"/>
    <xf numFmtId="0" fontId="33" fillId="0" borderId="7" xfId="0" applyFont="1" applyBorder="1"/>
    <xf numFmtId="0" fontId="33" fillId="10" borderId="3" xfId="0" applyFont="1" applyFill="1" applyBorder="1"/>
    <xf numFmtId="0" fontId="33" fillId="0" borderId="3" xfId="0" applyFont="1" applyBorder="1"/>
    <xf numFmtId="0" fontId="31" fillId="0" borderId="3" xfId="0" applyFont="1" applyBorder="1"/>
    <xf numFmtId="0" fontId="31" fillId="10" borderId="3" xfId="0" applyFont="1" applyFill="1" applyBorder="1"/>
    <xf numFmtId="0" fontId="31" fillId="0" borderId="7" xfId="0" applyFont="1" applyBorder="1"/>
    <xf numFmtId="0" fontId="31" fillId="10" borderId="7" xfId="0" applyFont="1" applyFill="1" applyBorder="1"/>
    <xf numFmtId="0" fontId="31" fillId="0" borderId="13" xfId="0" applyFont="1" applyBorder="1"/>
    <xf numFmtId="0" fontId="31" fillId="0" borderId="9" xfId="0" applyFont="1" applyBorder="1"/>
    <xf numFmtId="0" fontId="31" fillId="10" borderId="9" xfId="0" applyFont="1" applyFill="1" applyBorder="1"/>
    <xf numFmtId="0" fontId="31" fillId="0" borderId="10" xfId="0" applyFont="1" applyBorder="1"/>
    <xf numFmtId="0" fontId="31" fillId="0" borderId="11" xfId="0" applyFont="1" applyBorder="1"/>
    <xf numFmtId="0" fontId="20" fillId="0" borderId="0" xfId="0" applyFont="1"/>
    <xf numFmtId="10" fontId="33" fillId="0" borderId="3" xfId="13" applyNumberFormat="1" applyFont="1" applyBorder="1"/>
    <xf numFmtId="168" fontId="33" fillId="0" borderId="3" xfId="0" applyNumberFormat="1" applyFont="1" applyBorder="1"/>
    <xf numFmtId="9" fontId="33" fillId="0" borderId="3" xfId="13" applyFont="1" applyBorder="1"/>
    <xf numFmtId="0" fontId="33" fillId="0" borderId="8" xfId="0" applyFont="1" applyBorder="1"/>
    <xf numFmtId="9" fontId="33" fillId="0" borderId="9" xfId="13" applyFont="1" applyBorder="1"/>
    <xf numFmtId="0" fontId="31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center"/>
    </xf>
    <xf numFmtId="9" fontId="31" fillId="0" borderId="3" xfId="13" applyFont="1" applyBorder="1"/>
    <xf numFmtId="9" fontId="31" fillId="0" borderId="3" xfId="13" applyFont="1" applyBorder="1" applyAlignment="1">
      <alignment horizontal="center"/>
    </xf>
    <xf numFmtId="0" fontId="31" fillId="0" borderId="3" xfId="0" applyFont="1" applyBorder="1" applyAlignment="1">
      <alignment horizontal="center" vertical="center"/>
    </xf>
    <xf numFmtId="10" fontId="31" fillId="10" borderId="3" xfId="0" applyNumberFormat="1" applyFont="1" applyFill="1" applyBorder="1" applyAlignment="1">
      <alignment horizontal="center" vertical="center"/>
    </xf>
    <xf numFmtId="10" fontId="31" fillId="0" borderId="3" xfId="13" applyNumberFormat="1" applyFont="1" applyBorder="1" applyAlignment="1">
      <alignment horizontal="right"/>
    </xf>
    <xf numFmtId="10" fontId="31" fillId="0" borderId="3" xfId="0" applyNumberFormat="1" applyFont="1" applyBorder="1" applyAlignment="1">
      <alignment horizontal="center" vertical="center"/>
    </xf>
    <xf numFmtId="10" fontId="31" fillId="10" borderId="3" xfId="13" applyNumberFormat="1" applyFont="1" applyFill="1" applyBorder="1" applyAlignment="1">
      <alignment horizontal="center"/>
    </xf>
    <xf numFmtId="10" fontId="31" fillId="0" borderId="3" xfId="13" applyNumberFormat="1" applyFont="1" applyBorder="1"/>
    <xf numFmtId="0" fontId="31" fillId="0" borderId="3" xfId="0" applyFont="1" applyBorder="1" applyAlignment="1">
      <alignment horizontal="right"/>
    </xf>
    <xf numFmtId="0" fontId="31" fillId="10" borderId="3" xfId="0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13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10" fontId="31" fillId="0" borderId="15" xfId="0" applyNumberFormat="1" applyFont="1" applyBorder="1" applyAlignment="1">
      <alignment vertical="center"/>
    </xf>
    <xf numFmtId="0" fontId="31" fillId="0" borderId="8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16" xfId="0" applyFont="1" applyBorder="1" applyAlignment="1">
      <alignment vertical="center"/>
    </xf>
    <xf numFmtId="0" fontId="33" fillId="13" borderId="4" xfId="0" applyFont="1" applyFill="1" applyBorder="1" applyAlignment="1">
      <alignment vertical="center" wrapText="1"/>
    </xf>
    <xf numFmtId="0" fontId="31" fillId="13" borderId="5" xfId="0" applyFont="1" applyFill="1" applyBorder="1" applyAlignment="1">
      <alignment vertical="center"/>
    </xf>
    <xf numFmtId="10" fontId="33" fillId="13" borderId="6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17" borderId="3" xfId="0" applyFont="1" applyFill="1" applyBorder="1" applyAlignment="1">
      <alignment horizontal="center" vertical="center"/>
    </xf>
    <xf numFmtId="2" fontId="31" fillId="17" borderId="3" xfId="0" applyNumberFormat="1" applyFont="1" applyFill="1" applyBorder="1" applyAlignment="1">
      <alignment horizontal="right" vertical="center"/>
    </xf>
    <xf numFmtId="0" fontId="32" fillId="16" borderId="7" xfId="0" applyFont="1" applyFill="1" applyBorder="1" applyAlignment="1">
      <alignment horizontal="center"/>
    </xf>
    <xf numFmtId="0" fontId="17" fillId="0" borderId="17" xfId="0" applyFont="1" applyBorder="1"/>
    <xf numFmtId="0" fontId="35" fillId="0" borderId="17" xfId="0" applyFont="1" applyBorder="1" applyAlignment="1">
      <alignment horizontal="justify"/>
    </xf>
    <xf numFmtId="0" fontId="35" fillId="0" borderId="9" xfId="0" applyFont="1" applyBorder="1" applyAlignment="1">
      <alignment horizontal="justify"/>
    </xf>
    <xf numFmtId="164" fontId="17" fillId="0" borderId="0" xfId="0" applyNumberFormat="1" applyFont="1" applyAlignment="1">
      <alignment vertical="center"/>
    </xf>
    <xf numFmtId="44" fontId="0" fillId="0" borderId="0" xfId="26" applyFont="1" applyAlignment="1">
      <alignment vertical="center"/>
    </xf>
    <xf numFmtId="44" fontId="0" fillId="0" borderId="0" xfId="26" applyFont="1"/>
    <xf numFmtId="44" fontId="0" fillId="0" borderId="0" xfId="0" applyNumberFormat="1"/>
    <xf numFmtId="0" fontId="0" fillId="0" borderId="0" xfId="0" applyAlignment="1">
      <alignment horizontal="left"/>
    </xf>
    <xf numFmtId="0" fontId="0" fillId="0" borderId="19" xfId="0" applyBorder="1"/>
    <xf numFmtId="17" fontId="0" fillId="0" borderId="18" xfId="0" applyNumberFormat="1" applyBorder="1" applyAlignment="1">
      <alignment horizontal="left"/>
    </xf>
    <xf numFmtId="44" fontId="2" fillId="0" borderId="18" xfId="0" applyNumberFormat="1" applyFont="1" applyBorder="1"/>
    <xf numFmtId="44" fontId="0" fillId="0" borderId="18" xfId="0" applyNumberFormat="1" applyBorder="1"/>
    <xf numFmtId="0" fontId="0" fillId="0" borderId="21" xfId="0" applyBorder="1" applyAlignment="1">
      <alignment horizontal="left"/>
    </xf>
    <xf numFmtId="0" fontId="0" fillId="0" borderId="22" xfId="0" applyBorder="1"/>
    <xf numFmtId="0" fontId="0" fillId="0" borderId="23" xfId="0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4" fontId="2" fillId="0" borderId="0" xfId="0" applyNumberFormat="1" applyFont="1"/>
    <xf numFmtId="44" fontId="17" fillId="0" borderId="0" xfId="26" applyFont="1" applyAlignment="1">
      <alignment vertical="center"/>
    </xf>
    <xf numFmtId="44" fontId="0" fillId="0" borderId="0" xfId="26" applyFont="1" applyBorder="1"/>
    <xf numFmtId="44" fontId="0" fillId="0" borderId="20" xfId="26" applyFont="1" applyBorder="1"/>
    <xf numFmtId="17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11" fillId="0" borderId="0" xfId="0" applyFont="1"/>
    <xf numFmtId="2" fontId="11" fillId="0" borderId="0" xfId="0" applyNumberFormat="1" applyFont="1"/>
    <xf numFmtId="0" fontId="37" fillId="0" borderId="0" xfId="0" applyFont="1"/>
    <xf numFmtId="0" fontId="2" fillId="0" borderId="0" xfId="0" applyFont="1"/>
    <xf numFmtId="0" fontId="2" fillId="18" borderId="0" xfId="0" applyFont="1" applyFill="1"/>
    <xf numFmtId="2" fontId="37" fillId="18" borderId="0" xfId="0" applyNumberFormat="1" applyFont="1" applyFill="1"/>
    <xf numFmtId="0" fontId="26" fillId="10" borderId="3" xfId="0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1" fontId="38" fillId="0" borderId="3" xfId="0" applyNumberFormat="1" applyFont="1" applyBorder="1" applyAlignment="1">
      <alignment horizontal="center" vertical="center"/>
    </xf>
    <xf numFmtId="2" fontId="17" fillId="18" borderId="3" xfId="0" applyNumberFormat="1" applyFont="1" applyFill="1" applyBorder="1" applyAlignment="1">
      <alignment horizontal="center" vertical="center"/>
    </xf>
    <xf numFmtId="164" fontId="17" fillId="0" borderId="0" xfId="11" applyFont="1" applyBorder="1" applyAlignment="1">
      <alignment vertical="center"/>
    </xf>
    <xf numFmtId="164" fontId="20" fillId="0" borderId="0" xfId="1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64" fontId="17" fillId="0" borderId="24" xfId="11" applyFont="1" applyBorder="1" applyAlignment="1">
      <alignment horizontal="right" vertical="center"/>
    </xf>
    <xf numFmtId="164" fontId="17" fillId="0" borderId="24" xfId="11" applyFont="1" applyBorder="1" applyAlignment="1">
      <alignment vertical="center"/>
    </xf>
    <xf numFmtId="1" fontId="39" fillId="0" borderId="3" xfId="11" applyNumberFormat="1" applyFont="1" applyBorder="1" applyAlignment="1">
      <alignment horizontal="center" vertical="center"/>
    </xf>
    <xf numFmtId="0" fontId="40" fillId="0" borderId="24" xfId="0" applyFont="1" applyBorder="1" applyAlignment="1">
      <alignment vertical="center"/>
    </xf>
    <xf numFmtId="0" fontId="40" fillId="0" borderId="24" xfId="0" applyFont="1" applyBorder="1" applyAlignment="1">
      <alignment horizontal="center" vertical="center"/>
    </xf>
    <xf numFmtId="164" fontId="40" fillId="0" borderId="24" xfId="11" applyFont="1" applyBorder="1" applyAlignment="1">
      <alignment horizontal="right" vertical="center"/>
    </xf>
    <xf numFmtId="164" fontId="40" fillId="0" borderId="24" xfId="11" applyFont="1" applyBorder="1" applyAlignment="1">
      <alignment vertical="center"/>
    </xf>
    <xf numFmtId="164" fontId="40" fillId="0" borderId="24" xfId="11" applyFont="1" applyBorder="1" applyAlignment="1">
      <alignment horizontal="center" vertical="center"/>
    </xf>
    <xf numFmtId="0" fontId="11" fillId="0" borderId="24" xfId="0" applyFont="1" applyBorder="1"/>
    <xf numFmtId="0" fontId="0" fillId="0" borderId="24" xfId="0" applyBorder="1"/>
    <xf numFmtId="0" fontId="37" fillId="0" borderId="24" xfId="0" applyFont="1" applyBorder="1"/>
    <xf numFmtId="0" fontId="0" fillId="0" borderId="24" xfId="0" applyBorder="1" applyAlignment="1">
      <alignment horizontal="center"/>
    </xf>
    <xf numFmtId="0" fontId="11" fillId="0" borderId="24" xfId="0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2" fontId="37" fillId="0" borderId="24" xfId="0" applyNumberFormat="1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0" xfId="0" applyFont="1" applyAlignment="1">
      <alignment horizontal="center"/>
    </xf>
    <xf numFmtId="2" fontId="0" fillId="0" borderId="0" xfId="0" applyNumberFormat="1"/>
    <xf numFmtId="2" fontId="11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37" fillId="0" borderId="0" xfId="0" applyNumberFormat="1" applyFont="1"/>
    <xf numFmtId="0" fontId="0" fillId="18" borderId="0" xfId="0" applyFill="1"/>
    <xf numFmtId="2" fontId="2" fillId="0" borderId="0" xfId="0" applyNumberFormat="1" applyFont="1"/>
    <xf numFmtId="0" fontId="11" fillId="18" borderId="0" xfId="0" applyFont="1" applyFill="1"/>
    <xf numFmtId="2" fontId="11" fillId="18" borderId="0" xfId="0" applyNumberFormat="1" applyFont="1" applyFill="1"/>
    <xf numFmtId="2" fontId="26" fillId="10" borderId="3" xfId="0" applyNumberFormat="1" applyFont="1" applyFill="1" applyBorder="1" applyAlignment="1">
      <alignment horizontal="center" vertical="center"/>
    </xf>
    <xf numFmtId="164" fontId="16" fillId="18" borderId="24" xfId="11" applyFont="1" applyFill="1" applyBorder="1" applyAlignment="1">
      <alignment vertical="center"/>
    </xf>
    <xf numFmtId="164" fontId="16" fillId="18" borderId="0" xfId="11" applyFont="1" applyFill="1" applyAlignment="1">
      <alignment vertical="center"/>
    </xf>
    <xf numFmtId="164" fontId="17" fillId="18" borderId="0" xfId="11" applyFont="1" applyFill="1" applyAlignment="1">
      <alignment horizontal="center" vertical="center"/>
    </xf>
    <xf numFmtId="1" fontId="20" fillId="0" borderId="3" xfId="0" applyNumberFormat="1" applyFont="1" applyBorder="1" applyAlignment="1">
      <alignment horizontal="center" vertical="center"/>
    </xf>
    <xf numFmtId="164" fontId="20" fillId="18" borderId="3" xfId="1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/>
    <xf numFmtId="4" fontId="42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4" fontId="43" fillId="0" borderId="0" xfId="0" applyNumberFormat="1" applyFont="1" applyAlignment="1">
      <alignment vertical="center"/>
    </xf>
    <xf numFmtId="43" fontId="0" fillId="0" borderId="0" xfId="27" applyFont="1" applyAlignment="1">
      <alignment vertical="center"/>
    </xf>
    <xf numFmtId="0" fontId="44" fillId="0" borderId="32" xfId="0" applyFont="1" applyBorder="1" applyAlignment="1">
      <alignment horizontal="center"/>
    </xf>
    <xf numFmtId="0" fontId="44" fillId="0" borderId="24" xfId="0" applyFont="1" applyBorder="1" applyAlignment="1">
      <alignment horizontal="center"/>
    </xf>
    <xf numFmtId="0" fontId="44" fillId="0" borderId="33" xfId="0" applyFont="1" applyBorder="1" applyAlignment="1">
      <alignment horizontal="center"/>
    </xf>
    <xf numFmtId="0" fontId="45" fillId="0" borderId="32" xfId="0" applyFont="1" applyBorder="1"/>
    <xf numFmtId="0" fontId="45" fillId="0" borderId="24" xfId="0" applyFont="1" applyBorder="1"/>
    <xf numFmtId="0" fontId="45" fillId="0" borderId="33" xfId="0" applyFont="1" applyBorder="1"/>
    <xf numFmtId="0" fontId="41" fillId="0" borderId="0" xfId="0" applyFont="1"/>
    <xf numFmtId="0" fontId="46" fillId="0" borderId="32" xfId="0" applyFont="1" applyBorder="1"/>
    <xf numFmtId="0" fontId="46" fillId="0" borderId="24" xfId="0" applyFont="1" applyBorder="1"/>
    <xf numFmtId="0" fontId="46" fillId="18" borderId="33" xfId="0" applyFont="1" applyFill="1" applyBorder="1"/>
    <xf numFmtId="171" fontId="47" fillId="0" borderId="33" xfId="27" applyNumberFormat="1" applyFont="1" applyBorder="1" applyAlignment="1">
      <alignment horizontal="center" vertical="center" wrapText="1"/>
    </xf>
    <xf numFmtId="172" fontId="46" fillId="0" borderId="33" xfId="0" applyNumberFormat="1" applyFont="1" applyBorder="1"/>
    <xf numFmtId="2" fontId="46" fillId="0" borderId="33" xfId="0" applyNumberFormat="1" applyFont="1" applyBorder="1"/>
    <xf numFmtId="172" fontId="46" fillId="18" borderId="33" xfId="0" applyNumberFormat="1" applyFont="1" applyFill="1" applyBorder="1"/>
    <xf numFmtId="0" fontId="46" fillId="0" borderId="33" xfId="0" applyFont="1" applyBorder="1"/>
    <xf numFmtId="173" fontId="46" fillId="18" borderId="33" xfId="0" applyNumberFormat="1" applyFont="1" applyFill="1" applyBorder="1"/>
    <xf numFmtId="0" fontId="46" fillId="0" borderId="34" xfId="0" applyFont="1" applyBorder="1"/>
    <xf numFmtId="0" fontId="46" fillId="0" borderId="35" xfId="0" applyFont="1" applyBorder="1"/>
    <xf numFmtId="172" fontId="46" fillId="0" borderId="36" xfId="0" applyNumberFormat="1" applyFont="1" applyBorder="1"/>
    <xf numFmtId="0" fontId="11" fillId="20" borderId="24" xfId="0" applyFont="1" applyFill="1" applyBorder="1"/>
    <xf numFmtId="0" fontId="37" fillId="20" borderId="24" xfId="0" applyFont="1" applyFill="1" applyBorder="1" applyAlignment="1">
      <alignment horizontal="center"/>
    </xf>
    <xf numFmtId="0" fontId="11" fillId="20" borderId="24" xfId="0" applyFont="1" applyFill="1" applyBorder="1" applyAlignment="1">
      <alignment horizontal="center"/>
    </xf>
    <xf numFmtId="174" fontId="37" fillId="0" borderId="37" xfId="0" applyNumberFormat="1" applyFont="1" applyBorder="1" applyAlignment="1">
      <alignment horizontal="center"/>
    </xf>
    <xf numFmtId="0" fontId="37" fillId="18" borderId="24" xfId="0" applyFont="1" applyFill="1" applyBorder="1"/>
    <xf numFmtId="2" fontId="11" fillId="0" borderId="24" xfId="0" applyNumberFormat="1" applyFont="1" applyBorder="1"/>
    <xf numFmtId="2" fontId="37" fillId="18" borderId="24" xfId="0" applyNumberFormat="1" applyFont="1" applyFill="1" applyBorder="1"/>
    <xf numFmtId="0" fontId="2" fillId="0" borderId="24" xfId="0" applyFont="1" applyBorder="1"/>
    <xf numFmtId="0" fontId="31" fillId="18" borderId="3" xfId="0" applyFont="1" applyFill="1" applyBorder="1" applyAlignment="1">
      <alignment horizontal="center" vertical="center"/>
    </xf>
    <xf numFmtId="44" fontId="2" fillId="21" borderId="18" xfId="0" applyNumberFormat="1" applyFont="1" applyFill="1" applyBorder="1"/>
    <xf numFmtId="4" fontId="43" fillId="0" borderId="0" xfId="0" applyNumberFormat="1" applyFont="1" applyAlignment="1">
      <alignment horizontal="justify" vertical="center"/>
    </xf>
    <xf numFmtId="2" fontId="17" fillId="0" borderId="0" xfId="0" applyNumberFormat="1" applyFont="1" applyAlignment="1">
      <alignment vertical="center"/>
    </xf>
    <xf numFmtId="175" fontId="17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2" fontId="0" fillId="0" borderId="24" xfId="0" applyNumberFormat="1" applyBorder="1"/>
    <xf numFmtId="1" fontId="17" fillId="18" borderId="3" xfId="11" applyNumberFormat="1" applyFont="1" applyFill="1" applyBorder="1" applyAlignment="1">
      <alignment horizontal="center" vertical="center"/>
    </xf>
    <xf numFmtId="13" fontId="17" fillId="10" borderId="3" xfId="0" applyNumberFormat="1" applyFont="1" applyFill="1" applyBorder="1" applyAlignment="1">
      <alignment vertical="center"/>
    </xf>
    <xf numFmtId="4" fontId="0" fillId="0" borderId="0" xfId="0" applyNumberFormat="1"/>
    <xf numFmtId="2" fontId="38" fillId="10" borderId="3" xfId="0" applyNumberFormat="1" applyFont="1" applyFill="1" applyBorder="1" applyAlignment="1">
      <alignment horizontal="center" vertical="center"/>
    </xf>
    <xf numFmtId="164" fontId="20" fillId="0" borderId="9" xfId="11" applyFont="1" applyBorder="1" applyAlignment="1">
      <alignment horizontal="center" vertical="center"/>
    </xf>
    <xf numFmtId="0" fontId="37" fillId="22" borderId="24" xfId="0" applyFont="1" applyFill="1" applyBorder="1"/>
    <xf numFmtId="0" fontId="11" fillId="22" borderId="0" xfId="0" applyFont="1" applyFill="1"/>
    <xf numFmtId="13" fontId="17" fillId="10" borderId="3" xfId="0" applyNumberFormat="1" applyFont="1" applyFill="1" applyBorder="1" applyAlignment="1">
      <alignment horizontal="right" vertical="center"/>
    </xf>
    <xf numFmtId="164" fontId="20" fillId="23" borderId="0" xfId="11" applyFont="1" applyFill="1" applyBorder="1" applyAlignment="1">
      <alignment vertical="center"/>
    </xf>
    <xf numFmtId="0" fontId="17" fillId="0" borderId="24" xfId="0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4" fontId="20" fillId="0" borderId="0" xfId="11" applyFont="1" applyBorder="1" applyAlignment="1">
      <alignment vertical="center"/>
    </xf>
    <xf numFmtId="164" fontId="20" fillId="23" borderId="0" xfId="11" applyFont="1" applyFill="1" applyBorder="1" applyAlignment="1">
      <alignment horizontal="center" vertical="center"/>
    </xf>
    <xf numFmtId="164" fontId="20" fillId="23" borderId="24" xfId="11" applyFont="1" applyFill="1" applyBorder="1" applyAlignment="1">
      <alignment vertical="center"/>
    </xf>
    <xf numFmtId="2" fontId="2" fillId="18" borderId="24" xfId="0" applyNumberFormat="1" applyFont="1" applyFill="1" applyBorder="1"/>
    <xf numFmtId="0" fontId="11" fillId="18" borderId="24" xfId="0" applyFont="1" applyFill="1" applyBorder="1"/>
    <xf numFmtId="174" fontId="37" fillId="0" borderId="0" xfId="0" applyNumberFormat="1" applyFont="1" applyAlignment="1">
      <alignment horizontal="center"/>
    </xf>
    <xf numFmtId="0" fontId="22" fillId="11" borderId="6" xfId="0" applyFont="1" applyFill="1" applyBorder="1" applyAlignment="1">
      <alignment horizontal="center" vertical="center"/>
    </xf>
    <xf numFmtId="0" fontId="22" fillId="11" borderId="24" xfId="0" applyFont="1" applyFill="1" applyBorder="1" applyAlignment="1">
      <alignment horizontal="center" vertical="center"/>
    </xf>
    <xf numFmtId="164" fontId="17" fillId="0" borderId="0" xfId="11" applyFont="1" applyBorder="1" applyAlignment="1">
      <alignment horizontal="right" vertical="center"/>
    </xf>
    <xf numFmtId="164" fontId="35" fillId="0" borderId="25" xfId="11" applyFont="1" applyBorder="1" applyAlignment="1">
      <alignment horizontal="left" vertical="center"/>
    </xf>
    <xf numFmtId="164" fontId="35" fillId="0" borderId="26" xfId="11" applyFont="1" applyBorder="1" applyAlignment="1">
      <alignment horizontal="left" vertical="center"/>
    </xf>
    <xf numFmtId="164" fontId="35" fillId="0" borderId="27" xfId="11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64" fontId="16" fillId="9" borderId="3" xfId="11" applyFont="1" applyFill="1" applyBorder="1" applyAlignment="1">
      <alignment horizontal="center" vertical="center"/>
    </xf>
    <xf numFmtId="164" fontId="20" fillId="0" borderId="4" xfId="11" applyFont="1" applyBorder="1" applyAlignment="1">
      <alignment horizontal="left" vertical="center"/>
    </xf>
    <xf numFmtId="164" fontId="20" fillId="0" borderId="3" xfId="11" applyFont="1" applyBorder="1" applyAlignment="1">
      <alignment horizontal="center" vertical="center"/>
    </xf>
    <xf numFmtId="0" fontId="0" fillId="0" borderId="0" xfId="0"/>
    <xf numFmtId="0" fontId="32" fillId="9" borderId="3" xfId="0" applyFont="1" applyFill="1" applyBorder="1" applyAlignment="1">
      <alignment horizontal="center" vertical="center"/>
    </xf>
    <xf numFmtId="0" fontId="32" fillId="16" borderId="3" xfId="0" applyFont="1" applyFill="1" applyBorder="1" applyAlignment="1">
      <alignment horizontal="center"/>
    </xf>
    <xf numFmtId="0" fontId="16" fillId="16" borderId="7" xfId="0" applyFont="1" applyFill="1" applyBorder="1" applyAlignment="1">
      <alignment horizontal="center" vertical="center"/>
    </xf>
    <xf numFmtId="9" fontId="33" fillId="0" borderId="3" xfId="13" applyFont="1" applyBorder="1" applyAlignment="1">
      <alignment horizontal="center"/>
    </xf>
    <xf numFmtId="0" fontId="31" fillId="0" borderId="3" xfId="0" applyFont="1" applyBorder="1" applyAlignment="1">
      <alignment horizontal="center" vertical="center"/>
    </xf>
    <xf numFmtId="0" fontId="16" fillId="16" borderId="4" xfId="0" applyFont="1" applyFill="1" applyBorder="1" applyAlignment="1">
      <alignment horizontal="center" vertical="center"/>
    </xf>
    <xf numFmtId="0" fontId="44" fillId="19" borderId="29" xfId="0" applyFont="1" applyFill="1" applyBorder="1" applyAlignment="1">
      <alignment horizontal="center"/>
    </xf>
    <xf numFmtId="0" fontId="44" fillId="19" borderId="30" xfId="0" applyFont="1" applyFill="1" applyBorder="1" applyAlignment="1">
      <alignment horizontal="center"/>
    </xf>
    <xf numFmtId="0" fontId="44" fillId="19" borderId="3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7" fillId="0" borderId="25" xfId="0" applyFont="1" applyBorder="1" applyAlignment="1">
      <alignment horizontal="center"/>
    </xf>
    <xf numFmtId="0" fontId="37" fillId="0" borderId="26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0" fillId="0" borderId="0" xfId="12" applyFont="1" applyAlignment="1">
      <alignment vertical="center"/>
    </xf>
    <xf numFmtId="164" fontId="22" fillId="0" borderId="0" xfId="11" applyFont="1" applyFill="1" applyBorder="1" applyAlignment="1">
      <alignment horizontal="center" vertical="center"/>
    </xf>
  </cellXfs>
  <cellStyles count="2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cf1" xfId="6" xr:uid="{00000000-0005-0000-0000-000005000000}"/>
    <cellStyle name="cf2" xfId="7" xr:uid="{00000000-0005-0000-0000-000006000000}"/>
    <cellStyle name="cf3" xfId="8" xr:uid="{00000000-0005-0000-0000-000007000000}"/>
    <cellStyle name="ConditionalStyle_1" xfId="9" xr:uid="{00000000-0005-0000-0000-000008000000}"/>
    <cellStyle name="Error" xfId="10" xr:uid="{00000000-0005-0000-0000-000009000000}"/>
    <cellStyle name="Excel Built-in Comma" xfId="11" xr:uid="{00000000-0005-0000-0000-00000A000000}"/>
    <cellStyle name="Excel Built-in Hyperlink" xfId="12" xr:uid="{00000000-0005-0000-0000-00000B000000}"/>
    <cellStyle name="Excel Built-in Percent" xfId="13" xr:uid="{00000000-0005-0000-0000-00000C000000}"/>
    <cellStyle name="Footnote" xfId="14" xr:uid="{00000000-0005-0000-0000-00000D000000}"/>
    <cellStyle name="Good" xfId="15" xr:uid="{00000000-0005-0000-0000-00000E000000}"/>
    <cellStyle name="Heading" xfId="16" xr:uid="{00000000-0005-0000-0000-00000F000000}"/>
    <cellStyle name="Heading 1" xfId="17" xr:uid="{00000000-0005-0000-0000-000010000000}"/>
    <cellStyle name="Heading 2" xfId="18" xr:uid="{00000000-0005-0000-0000-000011000000}"/>
    <cellStyle name="Hyperlink" xfId="19" xr:uid="{00000000-0005-0000-0000-000012000000}"/>
    <cellStyle name="Moeda" xfId="26" builtinId="4"/>
    <cellStyle name="Neutral" xfId="20" xr:uid="{00000000-0005-0000-0000-000013000000}"/>
    <cellStyle name="Normal" xfId="0" builtinId="0" customBuiltin="1"/>
    <cellStyle name="Note" xfId="21" xr:uid="{00000000-0005-0000-0000-000015000000}"/>
    <cellStyle name="Result" xfId="22" xr:uid="{00000000-0005-0000-0000-000016000000}"/>
    <cellStyle name="Status" xfId="23" xr:uid="{00000000-0005-0000-0000-000017000000}"/>
    <cellStyle name="Text" xfId="24" xr:uid="{00000000-0005-0000-0000-000018000000}"/>
    <cellStyle name="Vírgula" xfId="27" builtinId="3"/>
    <cellStyle name="Warning" xfId="25" xr:uid="{00000000-0005-0000-0000-000019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885825</xdr:colOff>
      <xdr:row>0</xdr:row>
      <xdr:rowOff>0</xdr:rowOff>
    </xdr:from>
    <xdr:to>
      <xdr:col>4</xdr:col>
      <xdr:colOff>676275</xdr:colOff>
      <xdr:row>0</xdr:row>
      <xdr:rowOff>1102995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599184CD-3EC4-49DF-B528-06CCE8CB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5514975" cy="1102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885825</xdr:colOff>
      <xdr:row>0</xdr:row>
      <xdr:rowOff>0</xdr:rowOff>
    </xdr:from>
    <xdr:to>
      <xdr:col>4</xdr:col>
      <xdr:colOff>676275</xdr:colOff>
      <xdr:row>0</xdr:row>
      <xdr:rowOff>1102995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F802653-4C75-468B-9B5A-4117C475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5514975" cy="1102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885825</xdr:colOff>
      <xdr:row>0</xdr:row>
      <xdr:rowOff>0</xdr:rowOff>
    </xdr:from>
    <xdr:to>
      <xdr:col>4</xdr:col>
      <xdr:colOff>676275</xdr:colOff>
      <xdr:row>0</xdr:row>
      <xdr:rowOff>1102995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0A03F7-30EC-48D9-BB76-8718471D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5514975" cy="1102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133200</xdr:colOff>
      <xdr:row>4</xdr:row>
      <xdr:rowOff>52916</xdr:rowOff>
    </xdr:from>
    <xdr:ext cx="1284475" cy="337322"/>
    <xdr:pic>
      <xdr:nvPicPr>
        <xdr:cNvPr id="2" name="Picture 2">
          <a:extLst>
            <a:ext uri="{FF2B5EF4-FFF2-40B4-BE49-F238E27FC236}">
              <a16:creationId xmlns:a16="http://schemas.microsoft.com/office/drawing/2014/main" id="{2EE0BD39-B470-4B0D-A80E-F9F2148E7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33200" y="776816"/>
          <a:ext cx="1284475" cy="3373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85679</xdr:colOff>
      <xdr:row>7</xdr:row>
      <xdr:rowOff>14401</xdr:rowOff>
    </xdr:from>
    <xdr:ext cx="2036880" cy="366838"/>
    <xdr:pic>
      <xdr:nvPicPr>
        <xdr:cNvPr id="3" name="Picture 1">
          <a:extLst>
            <a:ext uri="{FF2B5EF4-FFF2-40B4-BE49-F238E27FC236}">
              <a16:creationId xmlns:a16="http://schemas.microsoft.com/office/drawing/2014/main" id="{FE7EBCCD-E589-40E0-AB9F-0523059E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85679" y="1241221"/>
          <a:ext cx="2036880" cy="36683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0</xdr:rowOff>
    </xdr:from>
    <xdr:to>
      <xdr:col>5</xdr:col>
      <xdr:colOff>666750</xdr:colOff>
      <xdr:row>3</xdr:row>
      <xdr:rowOff>45720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D69D8EE-F9A2-4A6D-A9A9-944DE866C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0"/>
          <a:ext cx="5514975" cy="1102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23</xdr:row>
      <xdr:rowOff>32385</xdr:rowOff>
    </xdr:from>
    <xdr:to>
      <xdr:col>3</xdr:col>
      <xdr:colOff>1676401</xdr:colOff>
      <xdr:row>23</xdr:row>
      <xdr:rowOff>1102995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D2F7E07-B267-4EBF-8C4D-09FC378C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318760"/>
          <a:ext cx="5353050" cy="1070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387"/>
  <sheetViews>
    <sheetView view="pageBreakPreview" topLeftCell="A327" zoomScaleNormal="100" zoomScaleSheetLayoutView="100" workbookViewId="0">
      <selection activeCell="G358" sqref="G358"/>
    </sheetView>
  </sheetViews>
  <sheetFormatPr defaultRowHeight="12.75"/>
  <cols>
    <col min="1" max="1" width="44.85546875" style="3" customWidth="1"/>
    <col min="2" max="2" width="15" style="3" customWidth="1"/>
    <col min="3" max="3" width="11.42578125" style="3" customWidth="1"/>
    <col min="4" max="4" width="14.5703125" style="2" customWidth="1"/>
    <col min="5" max="5" width="15.7109375" style="2" customWidth="1"/>
    <col min="6" max="6" width="13.5703125" style="2" customWidth="1"/>
    <col min="7" max="7" width="23.85546875" style="2" customWidth="1"/>
    <col min="8" max="8" width="13.85546875" style="3" customWidth="1"/>
    <col min="9" max="9" width="15" style="3" customWidth="1"/>
    <col min="10" max="10" width="13.7109375" style="3" customWidth="1"/>
    <col min="11" max="11" width="14.5703125" style="3" customWidth="1"/>
    <col min="12" max="64" width="9.42578125" style="3" customWidth="1"/>
    <col min="65" max="65" width="8.85546875" customWidth="1"/>
  </cols>
  <sheetData>
    <row r="1" spans="1:64" ht="92.25" customHeight="1">
      <c r="A1" s="330" t="s">
        <v>0</v>
      </c>
      <c r="B1" s="330"/>
      <c r="C1" s="330"/>
      <c r="D1" s="330"/>
      <c r="E1" s="330"/>
      <c r="F1" s="330"/>
    </row>
    <row r="2" spans="1:64" ht="55.5" customHeight="1">
      <c r="A2" s="331" t="s">
        <v>399</v>
      </c>
      <c r="B2" s="331"/>
      <c r="C2" s="331"/>
      <c r="D2" s="331"/>
      <c r="E2" s="331"/>
      <c r="F2" s="331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64" ht="15.75" customHeight="1">
      <c r="A3" s="332" t="s">
        <v>1</v>
      </c>
      <c r="B3" s="332"/>
      <c r="C3" s="332"/>
      <c r="D3" s="332"/>
      <c r="E3" s="332"/>
      <c r="F3" s="332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ht="15.75" customHeight="1">
      <c r="A4" s="6" t="s">
        <v>2</v>
      </c>
      <c r="B4" s="7"/>
      <c r="C4" s="7"/>
      <c r="D4" s="8"/>
      <c r="E4" s="9" t="s">
        <v>3</v>
      </c>
      <c r="F4" s="10" t="s">
        <v>4</v>
      </c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  <row r="5" spans="1:64" ht="15.75" customHeight="1">
      <c r="A5" s="9" t="str">
        <f>A52</f>
        <v>1. Mão-de-obra</v>
      </c>
      <c r="B5" s="11"/>
      <c r="C5" s="8"/>
      <c r="D5" s="8"/>
      <c r="E5" s="12">
        <f>+F139</f>
        <v>162828.52103732832</v>
      </c>
      <c r="F5" s="13">
        <f>IFERROR(E5/$E$35,0)</f>
        <v>0.40306424769450439</v>
      </c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ht="15.75" customHeight="1">
      <c r="A6" s="16" t="str">
        <f>A54</f>
        <v>1.1. Coletor Turno Dia</v>
      </c>
      <c r="B6" s="17"/>
      <c r="C6" s="7"/>
      <c r="D6" s="7"/>
      <c r="E6" s="18">
        <f>F65</f>
        <v>101775.22093907425</v>
      </c>
      <c r="F6" s="19">
        <f>IFERROR(E6/$E$35,0)</f>
        <v>0.25193346104486009</v>
      </c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15.75" customHeight="1">
      <c r="A7" s="16" t="str">
        <f>A68</f>
        <v>1.2. Motorista Turno do Dia</v>
      </c>
      <c r="B7" s="17"/>
      <c r="C7" s="7"/>
      <c r="D7" s="7"/>
      <c r="E7" s="18">
        <f>F81</f>
        <v>33409.101809395201</v>
      </c>
      <c r="F7" s="19">
        <f>IFERROR(E7/$E$35,0)</f>
        <v>8.2700588331609967E-2</v>
      </c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</row>
    <row r="8" spans="1:64" ht="15.75" customHeight="1">
      <c r="A8" s="16" t="s">
        <v>367</v>
      </c>
      <c r="B8" s="17"/>
      <c r="C8" s="7"/>
      <c r="D8" s="7"/>
      <c r="E8" s="18">
        <f>F82</f>
        <v>0</v>
      </c>
      <c r="F8" s="19">
        <f>IFERROR(E8/$E$35,0)</f>
        <v>0</v>
      </c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</row>
    <row r="9" spans="1:64" ht="15.75" customHeight="1">
      <c r="A9" s="16" t="str">
        <f>A101</f>
        <v>1.4. Vale Transporte</v>
      </c>
      <c r="B9" s="17"/>
      <c r="C9" s="7"/>
      <c r="D9" s="7"/>
      <c r="E9" s="18">
        <f>F108</f>
        <v>3671.8012000000012</v>
      </c>
      <c r="F9" s="19">
        <f>IFERROR(E9/$E$35,0)</f>
        <v>9.0891434678234077E-3</v>
      </c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</row>
    <row r="10" spans="1:64" ht="15.75" customHeight="1">
      <c r="A10" s="16" t="str">
        <f>A110</f>
        <v>1.5. Vale-refeição (diário)</v>
      </c>
      <c r="B10" s="17"/>
      <c r="C10" s="7"/>
      <c r="D10" s="7"/>
      <c r="E10" s="18">
        <f>F115</f>
        <v>12986.739999999998</v>
      </c>
      <c r="F10" s="19">
        <f>IFERROR(E10/$E$35,0)</f>
        <v>3.2147258691271434E-2</v>
      </c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ht="15.75" customHeight="1">
      <c r="A11" s="16" t="str">
        <f>A117</f>
        <v>1.6. Auxílio Alimentação (mensal)</v>
      </c>
      <c r="B11" s="17"/>
      <c r="C11" s="7"/>
      <c r="D11" s="7"/>
      <c r="E11" s="18">
        <f>F121</f>
        <v>772.80000000000007</v>
      </c>
      <c r="F11" s="19">
        <f>IFERROR(E11/$E$35,0)</f>
        <v>1.9129821276636456E-3</v>
      </c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ht="15.75" customHeight="1">
      <c r="A12" s="16" t="str">
        <f>A123</f>
        <v>1.7. Plano de Beneficio Social</v>
      </c>
      <c r="B12" s="17"/>
      <c r="C12" s="7"/>
      <c r="D12" s="7"/>
      <c r="E12" s="18">
        <f>F126</f>
        <v>433.8</v>
      </c>
      <c r="F12" s="19">
        <f>IFERROR(E12/$E$35,0)</f>
        <v>1.0738245949540495E-3</v>
      </c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ht="15.75" customHeight="1">
      <c r="A13" s="16" t="str">
        <f>A128</f>
        <v>1.8. Seguro de vida para Motorista</v>
      </c>
      <c r="B13" s="17"/>
      <c r="C13" s="7"/>
      <c r="D13" s="7"/>
      <c r="E13" s="18">
        <f>F131</f>
        <v>543.59999999999991</v>
      </c>
      <c r="F13" s="19">
        <f>IFERROR(E13/$E$35,0)</f>
        <v>1.3456225214776882E-3</v>
      </c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ht="15.75" customHeight="1">
      <c r="A14" s="16" t="str">
        <f>A133</f>
        <v>1.9. Prêmio Assiduidade (Coletores)</v>
      </c>
      <c r="B14" s="17"/>
      <c r="C14" s="7"/>
      <c r="D14" s="7"/>
      <c r="E14" s="18">
        <f>F136</f>
        <v>1440</v>
      </c>
      <c r="F14" s="19">
        <f t="shared" ref="F14" si="0">IFERROR(E14/$E$35,0)</f>
        <v>3.5645629708018238E-3</v>
      </c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</row>
    <row r="15" spans="1:64" ht="15.75" customHeight="1">
      <c r="A15" s="333" t="str">
        <f>A141</f>
        <v>2. Uniformes e Equipamentos de Proteção Individual</v>
      </c>
      <c r="B15" s="333"/>
      <c r="C15" s="333"/>
      <c r="D15" s="8"/>
      <c r="E15" s="12">
        <f>+F174</f>
        <v>7619.206666666666</v>
      </c>
      <c r="F15" s="13">
        <f>IFERROR(E15/$E$35,0)</f>
        <v>1.8860515243671105E-2</v>
      </c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</row>
    <row r="16" spans="1:64" ht="15.75" customHeight="1">
      <c r="A16" s="20" t="str">
        <f>A176</f>
        <v>3. Veículos e Equipamentos</v>
      </c>
      <c r="B16" s="21"/>
      <c r="C16" s="8"/>
      <c r="D16" s="8"/>
      <c r="E16" s="12">
        <f>+F312</f>
        <v>142649.01242453678</v>
      </c>
      <c r="F16" s="13">
        <f>IFERROR(E16/$E$35,0)</f>
        <v>0.35311207465968963</v>
      </c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</row>
    <row r="17" spans="1:64" ht="15.75" customHeight="1">
      <c r="A17" s="22" t="str">
        <f>A178</f>
        <v>3.1. Veículo Coletor Compactador 12 m³ ou maior</v>
      </c>
      <c r="B17" s="23"/>
      <c r="C17" s="7"/>
      <c r="D17" s="7"/>
      <c r="E17" s="18">
        <f>SUM(E18:E23)</f>
        <v>138228.92590625619</v>
      </c>
      <c r="F17" s="24">
        <f>IFERROR(E17/$E$35,0)</f>
        <v>0.34217063248552065</v>
      </c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ht="15.75" customHeight="1">
      <c r="A18" s="22" t="str">
        <f>A180</f>
        <v>3.1.1. Depreciação</v>
      </c>
      <c r="B18" s="23"/>
      <c r="C18" s="7"/>
      <c r="D18" s="7"/>
      <c r="E18" s="18">
        <f>F194</f>
        <v>30589.872832200006</v>
      </c>
      <c r="F18" s="24">
        <f>IFERROR(E18/$E$35,0)</f>
        <v>7.5721894429997813E-2</v>
      </c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</row>
    <row r="19" spans="1:64" ht="15.75" customHeight="1">
      <c r="A19" s="22" t="str">
        <f>A198</f>
        <v>3.1.2. Remuneração do Capital</v>
      </c>
      <c r="B19" s="23"/>
      <c r="C19" s="7"/>
      <c r="D19" s="7"/>
      <c r="E19" s="18">
        <f>F212</f>
        <v>23286.646289115004</v>
      </c>
      <c r="F19" s="24">
        <f>IFERROR(E19/$E$35,0)</f>
        <v>5.7643553525235446E-2</v>
      </c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</row>
    <row r="20" spans="1:64" ht="15.75" customHeight="1">
      <c r="A20" s="22" t="str">
        <f>A216</f>
        <v>3.1.3. Impostos e Seguros</v>
      </c>
      <c r="B20" s="23"/>
      <c r="C20" s="7"/>
      <c r="D20" s="7"/>
      <c r="E20" s="18">
        <f>F222</f>
        <v>5018.6239999999998</v>
      </c>
      <c r="F20" s="24">
        <f>IFERROR(E20/$E$35,0)</f>
        <v>1.2423056440817591E-2</v>
      </c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</row>
    <row r="21" spans="1:64" ht="15.75" customHeight="1">
      <c r="A21" s="22" t="str">
        <f>A224</f>
        <v>3.1.4. Consumos</v>
      </c>
      <c r="B21" s="23"/>
      <c r="C21" s="7"/>
      <c r="D21" s="7"/>
      <c r="E21" s="18">
        <f>F240</f>
        <v>56130.779951999997</v>
      </c>
      <c r="F21" s="24">
        <f>IFERROR(E21/$E$35,0)</f>
        <v>0.13894562481883649</v>
      </c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</row>
    <row r="22" spans="1:64" ht="15.75" customHeight="1">
      <c r="A22" s="22" t="str">
        <f>A242</f>
        <v>3.1.5. Manutenção</v>
      </c>
      <c r="B22" s="23"/>
      <c r="C22" s="7"/>
      <c r="D22" s="7"/>
      <c r="E22" s="18">
        <f>F245</f>
        <v>18673.2</v>
      </c>
      <c r="F22" s="24">
        <f>IFERROR(E22/$E$35,0)</f>
        <v>4.6223470323872654E-2</v>
      </c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</row>
    <row r="23" spans="1:64" ht="15.75" customHeight="1">
      <c r="A23" s="22" t="str">
        <f>A247</f>
        <v>3.1.6. Pneus</v>
      </c>
      <c r="B23" s="23"/>
      <c r="C23" s="7"/>
      <c r="D23" s="7"/>
      <c r="E23" s="18">
        <f>F254</f>
        <v>4529.8028329411754</v>
      </c>
      <c r="F23" s="24">
        <f>IFERROR(E23/$E$35,0)</f>
        <v>1.1213032946760635E-2</v>
      </c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</row>
    <row r="24" spans="1:64" ht="15.75" customHeight="1">
      <c r="A24" s="22" t="s">
        <v>5</v>
      </c>
      <c r="B24" s="23"/>
      <c r="C24" s="7"/>
      <c r="D24" s="7"/>
      <c r="E24" s="18">
        <f>SUM(E25:E30)</f>
        <v>4420.0865182805555</v>
      </c>
      <c r="F24" s="24">
        <f>IFERROR(E24/$E$35,0)</f>
        <v>1.0941442174168908E-2</v>
      </c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</row>
    <row r="25" spans="1:64" ht="15.75" customHeight="1">
      <c r="A25" s="22" t="s">
        <v>6</v>
      </c>
      <c r="B25" s="23"/>
      <c r="C25" s="7"/>
      <c r="D25" s="7"/>
      <c r="E25" s="18">
        <f>F267</f>
        <v>595.72347333333335</v>
      </c>
      <c r="F25" s="24">
        <f>IFERROR(E25/$E$35,0)</f>
        <v>1.4746484957510054E-3</v>
      </c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</row>
    <row r="26" spans="1:64" ht="15.75" customHeight="1">
      <c r="A26" s="22" t="s">
        <v>7</v>
      </c>
      <c r="B26" s="23"/>
      <c r="C26" s="7"/>
      <c r="D26" s="7"/>
      <c r="E26" s="18">
        <f>F278</f>
        <v>920.39482272499993</v>
      </c>
      <c r="F26" s="24">
        <f>IFERROR(E26/$E$35,0)</f>
        <v>2.2783370163911416E-3</v>
      </c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ht="15.75" customHeight="1">
      <c r="A27" s="22" t="s">
        <v>8</v>
      </c>
      <c r="B27" s="23"/>
      <c r="C27" s="7"/>
      <c r="D27" s="7"/>
      <c r="E27" s="18">
        <f>F286</f>
        <v>473.45666666666665</v>
      </c>
      <c r="F27" s="24">
        <f>IFERROR(E27/$E$35,0)</f>
        <v>1.1719903488050431E-3</v>
      </c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</row>
    <row r="28" spans="1:64" ht="15.75" customHeight="1">
      <c r="A28" s="22" t="s">
        <v>9</v>
      </c>
      <c r="B28" s="23"/>
      <c r="C28" s="7"/>
      <c r="D28" s="7"/>
      <c r="E28" s="18">
        <f>F297</f>
        <v>1849.0555555555554</v>
      </c>
      <c r="F28" s="24">
        <f>IFERROR(E28/$E$35,0)</f>
        <v>4.5771353918671719E-3</v>
      </c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</row>
    <row r="29" spans="1:64" ht="15.75" customHeight="1">
      <c r="A29" s="22" t="s">
        <v>10</v>
      </c>
      <c r="B29" s="23"/>
      <c r="C29" s="7"/>
      <c r="D29" s="7"/>
      <c r="E29" s="18">
        <f>F302</f>
        <v>450</v>
      </c>
      <c r="F29" s="24">
        <f>IFERROR(E29/$E$35,0)</f>
        <v>1.11392592837557E-3</v>
      </c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</row>
    <row r="30" spans="1:64" ht="15.75" customHeight="1">
      <c r="A30" s="22" t="s">
        <v>11</v>
      </c>
      <c r="B30" s="23"/>
      <c r="C30" s="7"/>
      <c r="D30" s="7"/>
      <c r="E30" s="18">
        <f>F309</f>
        <v>131.45599999999999</v>
      </c>
      <c r="F30" s="24">
        <f>IFERROR(E30/$E$35,0)</f>
        <v>3.2540499297897536E-4</v>
      </c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</row>
    <row r="31" spans="1:64" ht="15.75" customHeight="1">
      <c r="A31" s="20" t="str">
        <f>A314</f>
        <v>4. Ferramentas e Materiais de Consumo</v>
      </c>
      <c r="B31" s="21"/>
      <c r="C31" s="8"/>
      <c r="D31" s="8"/>
      <c r="E31" s="12">
        <f>+F324</f>
        <v>287.13</v>
      </c>
      <c r="F31" s="13">
        <f>IFERROR(E31/$E$35,0)</f>
        <v>7.1075900403217199E-4</v>
      </c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</row>
    <row r="32" spans="1:64" ht="15.75" customHeight="1">
      <c r="A32" s="20" t="str">
        <f>A326</f>
        <v>5. Monitoramento da Frota</v>
      </c>
      <c r="B32" s="21"/>
      <c r="C32" s="8"/>
      <c r="D32" s="8"/>
      <c r="E32" s="12">
        <f>+F335</f>
        <v>516.1</v>
      </c>
      <c r="F32" s="13">
        <f>IFERROR(E32/$E$35,0)</f>
        <v>1.2775492702991815E-3</v>
      </c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</row>
    <row r="33" spans="1:64" ht="15.75" customHeight="1">
      <c r="A33" s="20" t="str">
        <f>A337</f>
        <v>6. Instalações / Canteiro</v>
      </c>
      <c r="B33" s="21"/>
      <c r="C33" s="8"/>
      <c r="D33" s="8"/>
      <c r="E33" s="12">
        <f>F339</f>
        <v>7000</v>
      </c>
      <c r="F33" s="13">
        <f>IFERROR(E33/$E$35,0)</f>
        <v>1.7327736663619978E-2</v>
      </c>
      <c r="G33" s="1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</row>
    <row r="34" spans="1:64" ht="15.75" customHeight="1">
      <c r="A34" s="20" t="str">
        <f>A344</f>
        <v>7. Benefícios e Despesas Indiretas - BDI</v>
      </c>
      <c r="B34" s="21"/>
      <c r="C34" s="8"/>
      <c r="D34" s="8"/>
      <c r="E34" s="12">
        <f>+F350</f>
        <v>90076.621615078853</v>
      </c>
      <c r="F34" s="13">
        <f>IFERROR(E34/$E$35,0)</f>
        <v>0.22297485412780366</v>
      </c>
      <c r="G34" s="14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</row>
    <row r="35" spans="1:64" ht="15.75" customHeight="1">
      <c r="A35" s="20" t="s">
        <v>12</v>
      </c>
      <c r="B35" s="21"/>
      <c r="C35" s="8"/>
      <c r="D35" s="8"/>
      <c r="E35" s="25">
        <f>E5+E15+E16+E31+E32+E34</f>
        <v>403976.59174361057</v>
      </c>
      <c r="F35" s="26">
        <f>F5+F15+F16+F31+F32+F34</f>
        <v>1.0000000000000002</v>
      </c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</row>
    <row r="37" spans="1:64" ht="15" customHeight="1">
      <c r="A37" s="332" t="s">
        <v>13</v>
      </c>
      <c r="B37" s="332"/>
      <c r="C37" s="332"/>
      <c r="D37" s="332"/>
      <c r="E37" s="332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1:64" ht="15" customHeight="1">
      <c r="A38" s="334" t="s">
        <v>14</v>
      </c>
      <c r="B38" s="334"/>
      <c r="C38" s="334"/>
      <c r="D38" s="334"/>
      <c r="E38" s="27" t="s">
        <v>15</v>
      </c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</row>
    <row r="39" spans="1:64" ht="15" customHeight="1">
      <c r="A39" s="28" t="str">
        <f>+A54</f>
        <v>1.1. Coletor Turno Dia</v>
      </c>
      <c r="B39" s="29"/>
      <c r="C39" s="29"/>
      <c r="D39" s="30"/>
      <c r="E39" s="31">
        <f>C64</f>
        <v>18</v>
      </c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</row>
    <row r="40" spans="1:64" ht="15" customHeight="1">
      <c r="A40" s="28" t="str">
        <f>+A68</f>
        <v>1.2. Motorista Turno do Dia</v>
      </c>
      <c r="B40" s="29"/>
      <c r="C40" s="29"/>
      <c r="D40" s="30"/>
      <c r="E40" s="31">
        <f>C80</f>
        <v>6</v>
      </c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</row>
    <row r="41" spans="1:64" ht="15" customHeight="1">
      <c r="A41" s="28" t="str">
        <f>A83</f>
        <v>1.3 Fiscal de Coleta (Supervisor)</v>
      </c>
      <c r="B41" s="29"/>
      <c r="C41" s="29"/>
      <c r="D41" s="30"/>
      <c r="E41" s="31">
        <v>1</v>
      </c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</row>
    <row r="42" spans="1:64" ht="15" customHeight="1">
      <c r="A42" s="28" t="s">
        <v>371</v>
      </c>
      <c r="B42" s="29"/>
      <c r="C42" s="29"/>
      <c r="D42" s="30"/>
      <c r="E42" s="232">
        <v>0</v>
      </c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</row>
    <row r="43" spans="1:64" ht="15" customHeight="1">
      <c r="A43" s="32" t="s">
        <v>16</v>
      </c>
      <c r="B43" s="33"/>
      <c r="C43" s="33"/>
      <c r="D43" s="34"/>
      <c r="E43" s="35">
        <f>SUM(E39:E42)</f>
        <v>25</v>
      </c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</row>
    <row r="44" spans="1:64" ht="15" customHeight="1">
      <c r="A44" s="36"/>
      <c r="B44" s="37"/>
      <c r="C44" s="2"/>
      <c r="E44" s="38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</row>
    <row r="45" spans="1:64" ht="15" customHeight="1">
      <c r="A45" s="329" t="s">
        <v>17</v>
      </c>
      <c r="B45" s="329"/>
      <c r="C45" s="329"/>
      <c r="D45" s="329"/>
      <c r="E45" s="27" t="s">
        <v>15</v>
      </c>
      <c r="F45" s="3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</row>
    <row r="46" spans="1:64" ht="15" customHeight="1">
      <c r="A46" s="28" t="str">
        <f>+A178</f>
        <v>3.1. Veículo Coletor Compactador 12 m³ ou maior</v>
      </c>
      <c r="B46" s="29"/>
      <c r="C46" s="29"/>
      <c r="D46" s="40"/>
      <c r="E46" s="31">
        <v>6</v>
      </c>
      <c r="F46" s="3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</row>
    <row r="47" spans="1:64" ht="15" customHeight="1">
      <c r="A47" s="16" t="s">
        <v>370</v>
      </c>
      <c r="B47" s="29"/>
      <c r="C47" s="29"/>
      <c r="D47" s="40"/>
      <c r="E47" s="303">
        <v>1</v>
      </c>
      <c r="F47" s="3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</row>
    <row r="48" spans="1:64" ht="15" hidden="1" customHeight="1">
      <c r="A48" s="28" t="s">
        <v>18</v>
      </c>
      <c r="B48" s="29"/>
      <c r="C48" s="29"/>
      <c r="D48" s="40"/>
      <c r="E48" s="31">
        <v>0</v>
      </c>
      <c r="F48" s="3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</row>
    <row r="49" spans="1:64">
      <c r="A49" s="2"/>
      <c r="B49" s="2"/>
      <c r="C49" s="2"/>
      <c r="D49" s="3"/>
      <c r="E49" s="42"/>
      <c r="F49" s="3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</row>
    <row r="50" spans="1:64" ht="15.75" customHeight="1">
      <c r="A50" s="9" t="s">
        <v>19</v>
      </c>
      <c r="B50" s="43">
        <v>1</v>
      </c>
      <c r="C50" s="14"/>
      <c r="D50" s="15"/>
      <c r="E50" s="44"/>
      <c r="F50" s="15"/>
      <c r="G50" s="14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</row>
    <row r="51" spans="1:64" ht="15.75" customHeight="1">
      <c r="A51" s="2"/>
      <c r="B51" s="2"/>
      <c r="C51" s="2"/>
      <c r="D51" s="3"/>
      <c r="E51" s="42"/>
      <c r="F51" s="3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64" ht="13.15" customHeight="1">
      <c r="A52" s="15" t="s">
        <v>20</v>
      </c>
    </row>
    <row r="53" spans="1:64" ht="11.25" customHeight="1"/>
    <row r="54" spans="1:64" ht="13.9" customHeight="1">
      <c r="A54" s="3" t="s">
        <v>21</v>
      </c>
    </row>
    <row r="55" spans="1:64" ht="13.9" customHeight="1">
      <c r="A55" s="45" t="s">
        <v>22</v>
      </c>
      <c r="B55" s="45" t="s">
        <v>23</v>
      </c>
      <c r="C55" s="45" t="s">
        <v>15</v>
      </c>
      <c r="D55" s="46" t="s">
        <v>24</v>
      </c>
      <c r="E55" s="46" t="s">
        <v>25</v>
      </c>
      <c r="F55" s="46" t="s">
        <v>26</v>
      </c>
    </row>
    <row r="56" spans="1:64" ht="13.15" customHeight="1">
      <c r="A56" s="47" t="s">
        <v>27</v>
      </c>
      <c r="B56" s="48" t="s">
        <v>28</v>
      </c>
      <c r="C56" s="48">
        <v>1</v>
      </c>
      <c r="D56" s="49">
        <v>2082.31</v>
      </c>
      <c r="E56" s="50">
        <f>C56*D56</f>
        <v>2082.31</v>
      </c>
    </row>
    <row r="57" spans="1:64">
      <c r="A57" s="51" t="s">
        <v>29</v>
      </c>
      <c r="B57" s="52" t="s">
        <v>30</v>
      </c>
      <c r="C57" s="256">
        <f>(4.2*7.33*(3/18))+7.33</f>
        <v>12.461</v>
      </c>
      <c r="D57" s="54">
        <f>D56/220*2</f>
        <v>18.930090909090907</v>
      </c>
      <c r="E57" s="54">
        <f>C57*D57</f>
        <v>235.88786281818179</v>
      </c>
      <c r="G57" s="2" t="s">
        <v>31</v>
      </c>
    </row>
    <row r="58" spans="1:64" ht="13.15" customHeight="1">
      <c r="A58" s="51" t="s">
        <v>32</v>
      </c>
      <c r="B58" s="52" t="s">
        <v>30</v>
      </c>
      <c r="C58" s="256">
        <v>0</v>
      </c>
      <c r="D58" s="54">
        <f>D56/220*1.5</f>
        <v>14.19756818181818</v>
      </c>
      <c r="E58" s="54">
        <f>C58*D58</f>
        <v>0</v>
      </c>
      <c r="G58" s="2" t="s">
        <v>33</v>
      </c>
    </row>
    <row r="59" spans="1:64" ht="13.15" customHeight="1">
      <c r="A59" s="51" t="s">
        <v>34</v>
      </c>
      <c r="B59" s="52" t="s">
        <v>35</v>
      </c>
      <c r="D59" s="54">
        <f>63/302*(SUM(E57:E58))</f>
        <v>49.208395223660439</v>
      </c>
      <c r="E59" s="54">
        <f>D59</f>
        <v>49.208395223660439</v>
      </c>
      <c r="G59" s="2" t="s">
        <v>36</v>
      </c>
    </row>
    <row r="60" spans="1:64">
      <c r="A60" s="51" t="s">
        <v>37</v>
      </c>
      <c r="B60" s="52" t="s">
        <v>4</v>
      </c>
      <c r="C60" s="52">
        <v>40</v>
      </c>
      <c r="D60" s="54">
        <f>SUM(E56:E59)</f>
        <v>2367.4062580418422</v>
      </c>
      <c r="E60" s="54">
        <f>C60*D60/100</f>
        <v>946.96250321673699</v>
      </c>
    </row>
    <row r="61" spans="1:64">
      <c r="A61" s="55" t="s">
        <v>38</v>
      </c>
      <c r="B61" s="56"/>
      <c r="C61" s="56"/>
      <c r="D61" s="57"/>
      <c r="E61" s="58">
        <f>SUM(E56:E60)</f>
        <v>3314.3687612585791</v>
      </c>
    </row>
    <row r="62" spans="1:64">
      <c r="A62" s="51" t="s">
        <v>39</v>
      </c>
      <c r="B62" s="52" t="s">
        <v>4</v>
      </c>
      <c r="C62" s="59">
        <f>'2_Encargos_Sociais'!$C$37*100</f>
        <v>70.595951999999997</v>
      </c>
      <c r="D62" s="54">
        <f>E61</f>
        <v>3314.3687612585791</v>
      </c>
      <c r="E62" s="54">
        <f>D62*C62/100</f>
        <v>2339.8101798011012</v>
      </c>
    </row>
    <row r="63" spans="1:64">
      <c r="A63" s="55" t="s">
        <v>40</v>
      </c>
      <c r="B63" s="56"/>
      <c r="C63" s="56"/>
      <c r="D63" s="57"/>
      <c r="E63" s="58">
        <f>E61+E62</f>
        <v>5654.1789410596803</v>
      </c>
    </row>
    <row r="64" spans="1:64">
      <c r="A64" s="51" t="s">
        <v>41</v>
      </c>
      <c r="B64" s="52" t="s">
        <v>42</v>
      </c>
      <c r="C64" s="60">
        <v>18</v>
      </c>
      <c r="D64" s="54">
        <f>E63</f>
        <v>5654.1789410596803</v>
      </c>
      <c r="E64" s="54">
        <f>C64*D64</f>
        <v>101775.22093907425</v>
      </c>
      <c r="G64" s="4"/>
    </row>
    <row r="65" spans="1:64" ht="13.9" customHeight="1">
      <c r="D65" s="61" t="s">
        <v>43</v>
      </c>
      <c r="E65" s="62">
        <f>$B$50</f>
        <v>1</v>
      </c>
      <c r="F65" s="63">
        <f>E64*E65</f>
        <v>101775.22093907425</v>
      </c>
      <c r="G65" s="4"/>
    </row>
    <row r="66" spans="1:64" ht="4.5" customHeight="1"/>
    <row r="67" spans="1:64" ht="6" customHeight="1"/>
    <row r="68" spans="1:64">
      <c r="A68" s="3" t="s">
        <v>273</v>
      </c>
    </row>
    <row r="69" spans="1:64" ht="13.15" customHeight="1">
      <c r="A69" s="45" t="s">
        <v>22</v>
      </c>
      <c r="B69" s="45" t="s">
        <v>23</v>
      </c>
      <c r="C69" s="45" t="s">
        <v>15</v>
      </c>
      <c r="D69" s="46" t="s">
        <v>24</v>
      </c>
      <c r="E69" s="46" t="s">
        <v>25</v>
      </c>
      <c r="F69" s="46" t="s">
        <v>26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</row>
    <row r="70" spans="1:64">
      <c r="A70" s="47" t="s">
        <v>47</v>
      </c>
      <c r="B70" s="48" t="s">
        <v>28</v>
      </c>
      <c r="C70" s="48">
        <v>1</v>
      </c>
      <c r="D70" s="49">
        <v>2331.4</v>
      </c>
      <c r="E70" s="50">
        <f>C70*D70</f>
        <v>2331.4</v>
      </c>
    </row>
    <row r="71" spans="1:64">
      <c r="A71" s="47" t="s">
        <v>48</v>
      </c>
      <c r="B71" s="48" t="s">
        <v>28</v>
      </c>
      <c r="C71" s="48">
        <v>1</v>
      </c>
      <c r="D71" s="49">
        <v>1621</v>
      </c>
      <c r="E71" s="50"/>
    </row>
    <row r="72" spans="1:64">
      <c r="A72" s="51" t="s">
        <v>29</v>
      </c>
      <c r="B72" s="52" t="s">
        <v>30</v>
      </c>
      <c r="C72" s="256">
        <f>(4.2*7.33*(1/6))+7.33</f>
        <v>12.461</v>
      </c>
      <c r="D72" s="54">
        <v>0</v>
      </c>
      <c r="E72" s="54">
        <f>C72*D72</f>
        <v>0</v>
      </c>
      <c r="G72" s="2" t="s">
        <v>31</v>
      </c>
    </row>
    <row r="73" spans="1:64">
      <c r="A73" s="51" t="s">
        <v>32</v>
      </c>
      <c r="B73" s="52" t="s">
        <v>30</v>
      </c>
      <c r="C73" s="256"/>
      <c r="D73" s="54">
        <f>D70/220*1.5</f>
        <v>15.895909090909091</v>
      </c>
      <c r="E73" s="54">
        <f>C73*D73</f>
        <v>0</v>
      </c>
      <c r="G73" s="2" t="s">
        <v>33</v>
      </c>
    </row>
    <row r="74" spans="1:64" ht="13.15" customHeight="1">
      <c r="A74" s="51" t="s">
        <v>34</v>
      </c>
      <c r="B74" s="52" t="s">
        <v>35</v>
      </c>
      <c r="D74" s="54">
        <f>63/302*(SUM(E72:E73))</f>
        <v>0</v>
      </c>
      <c r="E74" s="54">
        <f>D74</f>
        <v>0</v>
      </c>
      <c r="G74" s="2" t="s">
        <v>36</v>
      </c>
    </row>
    <row r="75" spans="1:64">
      <c r="A75" s="51" t="s">
        <v>49</v>
      </c>
      <c r="B75" s="52"/>
      <c r="C75" s="65">
        <v>2</v>
      </c>
      <c r="D75" s="54"/>
      <c r="E75" s="54"/>
    </row>
    <row r="76" spans="1:64">
      <c r="A76" s="51" t="s">
        <v>37</v>
      </c>
      <c r="B76" s="52" t="s">
        <v>4</v>
      </c>
      <c r="C76" s="60">
        <v>40</v>
      </c>
      <c r="D76" s="54">
        <f>IF(C75=2,SUM(E70:E74),IF(C75=1,(SUM(E70:E74))*D71/D70,0))</f>
        <v>2331.4</v>
      </c>
      <c r="E76" s="54">
        <f>C76*D76/100</f>
        <v>932.56</v>
      </c>
    </row>
    <row r="77" spans="1:64">
      <c r="A77" s="66" t="s">
        <v>38</v>
      </c>
      <c r="B77" s="56"/>
      <c r="C77" s="56"/>
      <c r="D77" s="57"/>
      <c r="E77" s="10">
        <f>SUM(E70:E76)</f>
        <v>3263.96</v>
      </c>
      <c r="F77" s="14"/>
      <c r="G77" s="14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8" spans="1:64">
      <c r="A78" s="51" t="s">
        <v>39</v>
      </c>
      <c r="B78" s="52" t="s">
        <v>4</v>
      </c>
      <c r="C78" s="59">
        <f>'2_Encargos_Sociais'!$C$37*100</f>
        <v>70.595951999999997</v>
      </c>
      <c r="D78" s="54">
        <f>E77</f>
        <v>3263.96</v>
      </c>
      <c r="E78" s="54">
        <f>D78*C78/100</f>
        <v>2304.2236348991996</v>
      </c>
    </row>
    <row r="79" spans="1:64">
      <c r="A79" s="66" t="s">
        <v>50</v>
      </c>
      <c r="B79" s="67"/>
      <c r="C79" s="67"/>
      <c r="D79" s="68"/>
      <c r="E79" s="10">
        <f>E77+E78</f>
        <v>5568.1836348992001</v>
      </c>
      <c r="F79" s="14"/>
      <c r="G79" s="14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64">
      <c r="A80" s="51" t="s">
        <v>41</v>
      </c>
      <c r="B80" s="52" t="s">
        <v>42</v>
      </c>
      <c r="C80" s="60">
        <v>6</v>
      </c>
      <c r="D80" s="54">
        <f>E79</f>
        <v>5568.1836348992001</v>
      </c>
      <c r="E80" s="54">
        <f>C80*D80</f>
        <v>33409.101809395201</v>
      </c>
    </row>
    <row r="81" spans="1:6">
      <c r="D81" s="61" t="s">
        <v>43</v>
      </c>
      <c r="E81" s="62">
        <f>$B$50</f>
        <v>1</v>
      </c>
      <c r="F81" s="63">
        <f>E80*E81</f>
        <v>33409.101809395201</v>
      </c>
    </row>
    <row r="82" spans="1:6" ht="11.25" customHeight="1"/>
    <row r="83" spans="1:6" ht="11.25" customHeight="1">
      <c r="A83" s="262" t="s">
        <v>368</v>
      </c>
    </row>
    <row r="84" spans="1:6" ht="11.25" customHeight="1">
      <c r="A84" s="45" t="s">
        <v>22</v>
      </c>
      <c r="B84" s="45" t="s">
        <v>23</v>
      </c>
      <c r="C84" s="45" t="s">
        <v>15</v>
      </c>
      <c r="D84" s="46" t="s">
        <v>24</v>
      </c>
      <c r="E84" s="46" t="s">
        <v>25</v>
      </c>
      <c r="F84" s="46" t="s">
        <v>26</v>
      </c>
    </row>
    <row r="85" spans="1:6" ht="11.25" customHeight="1">
      <c r="A85" s="47" t="s">
        <v>27</v>
      </c>
      <c r="B85" s="48" t="s">
        <v>28</v>
      </c>
      <c r="C85" s="48">
        <v>1</v>
      </c>
      <c r="D85" s="50">
        <f>D70*1.4</f>
        <v>3263.96</v>
      </c>
      <c r="E85" s="50">
        <f>C85*D85</f>
        <v>3263.96</v>
      </c>
    </row>
    <row r="86" spans="1:6" ht="11.25" customHeight="1">
      <c r="A86" s="47" t="s">
        <v>48</v>
      </c>
      <c r="B86" s="48" t="s">
        <v>28</v>
      </c>
      <c r="C86" s="48">
        <v>0</v>
      </c>
      <c r="D86" s="54">
        <f>D71</f>
        <v>1621</v>
      </c>
      <c r="E86" s="54"/>
    </row>
    <row r="87" spans="1:6" ht="11.25" hidden="1" customHeight="1">
      <c r="A87" s="51" t="s">
        <v>44</v>
      </c>
      <c r="B87" s="52" t="s">
        <v>45</v>
      </c>
      <c r="C87" s="53">
        <v>0</v>
      </c>
      <c r="D87" s="51"/>
      <c r="E87" s="51"/>
    </row>
    <row r="88" spans="1:6" ht="11.25" hidden="1" customHeight="1">
      <c r="A88" s="51"/>
      <c r="B88" s="52" t="s">
        <v>46</v>
      </c>
      <c r="C88" s="54">
        <f>C87*8/7</f>
        <v>0</v>
      </c>
      <c r="D88" s="54">
        <f>D85/220*0.2</f>
        <v>2.9672363636363639</v>
      </c>
      <c r="E88" s="54">
        <f>C88*D88</f>
        <v>0</v>
      </c>
    </row>
    <row r="89" spans="1:6" ht="11.25" customHeight="1">
      <c r="A89" s="51" t="s">
        <v>29</v>
      </c>
      <c r="B89" s="52" t="s">
        <v>30</v>
      </c>
      <c r="C89" s="306"/>
      <c r="D89" s="54">
        <f>D85/220*2</f>
        <v>29.672363636363638</v>
      </c>
      <c r="E89" s="54">
        <f>C89*D89</f>
        <v>0</v>
      </c>
    </row>
    <row r="90" spans="1:6" ht="11.25" customHeight="1">
      <c r="A90" s="51" t="s">
        <v>32</v>
      </c>
      <c r="B90" s="52" t="s">
        <v>30</v>
      </c>
      <c r="C90" s="306"/>
      <c r="D90" s="54">
        <f>D85/220*1.5</f>
        <v>22.254272727272728</v>
      </c>
      <c r="E90" s="54">
        <f>C90*D90</f>
        <v>0</v>
      </c>
    </row>
    <row r="91" spans="1:6" ht="11.25" customHeight="1">
      <c r="A91" s="51" t="s">
        <v>34</v>
      </c>
      <c r="B91" s="52" t="s">
        <v>35</v>
      </c>
      <c r="D91" s="54">
        <f>63/302*(SUM(E89:E90))</f>
        <v>0</v>
      </c>
      <c r="E91" s="54">
        <f>D91</f>
        <v>0</v>
      </c>
    </row>
    <row r="92" spans="1:6" ht="11.25" customHeight="1">
      <c r="A92" s="51" t="s">
        <v>49</v>
      </c>
      <c r="B92" s="52"/>
      <c r="C92" s="65">
        <v>2</v>
      </c>
      <c r="D92" s="54"/>
      <c r="E92" s="54"/>
    </row>
    <row r="93" spans="1:6" ht="11.25" customHeight="1">
      <c r="A93" s="51" t="s">
        <v>37</v>
      </c>
      <c r="B93" s="52" t="s">
        <v>4</v>
      </c>
      <c r="C93" s="54">
        <v>40</v>
      </c>
      <c r="D93" s="54">
        <f>IF(C92=2,SUM(E85:E91),IF(C92=1,SUM(E85:E91)*D86/D85,0))</f>
        <v>3263.96</v>
      </c>
      <c r="E93" s="54">
        <f>C93*D93/100</f>
        <v>1305.5839999999998</v>
      </c>
    </row>
    <row r="94" spans="1:6" ht="11.25" customHeight="1">
      <c r="A94" s="55" t="s">
        <v>38</v>
      </c>
      <c r="B94" s="56"/>
      <c r="C94" s="56"/>
      <c r="D94" s="57"/>
      <c r="E94" s="58">
        <f>SUM(E85:E93)</f>
        <v>4569.5439999999999</v>
      </c>
      <c r="F94" s="14"/>
    </row>
    <row r="95" spans="1:6" ht="11.25" customHeight="1">
      <c r="A95" s="51" t="s">
        <v>39</v>
      </c>
      <c r="B95" s="52" t="s">
        <v>4</v>
      </c>
      <c r="C95" s="59">
        <f>'2_Encargos_Sociais'!$C$37*100</f>
        <v>70.595951999999997</v>
      </c>
      <c r="D95" s="54">
        <f>E94</f>
        <v>4569.5439999999999</v>
      </c>
      <c r="E95" s="54">
        <f>D95*C95/100</f>
        <v>3225.9130888588797</v>
      </c>
    </row>
    <row r="96" spans="1:6" ht="11.25" customHeight="1">
      <c r="A96" s="55" t="s">
        <v>51</v>
      </c>
      <c r="B96" s="56"/>
      <c r="C96" s="56"/>
      <c r="D96" s="57"/>
      <c r="E96" s="58">
        <f>E94+E95</f>
        <v>7795.4570888588796</v>
      </c>
      <c r="F96" s="14"/>
    </row>
    <row r="97" spans="1:7" ht="11.25" customHeight="1">
      <c r="A97" s="51" t="s">
        <v>41</v>
      </c>
      <c r="B97" s="52" t="s">
        <v>42</v>
      </c>
      <c r="C97" s="60">
        <v>1</v>
      </c>
      <c r="D97" s="54">
        <f>E96</f>
        <v>7795.4570888588796</v>
      </c>
      <c r="E97" s="54">
        <f>C97*D97</f>
        <v>7795.4570888588796</v>
      </c>
    </row>
    <row r="98" spans="1:7" ht="11.25" customHeight="1">
      <c r="D98" s="61" t="s">
        <v>43</v>
      </c>
      <c r="E98" s="261">
        <v>1</v>
      </c>
      <c r="F98" s="63">
        <f>E97*E98</f>
        <v>7795.4570888588796</v>
      </c>
    </row>
    <row r="99" spans="1:7" ht="11.25" customHeight="1">
      <c r="G99" s="3"/>
    </row>
    <row r="100" spans="1:7">
      <c r="A100"/>
      <c r="B100" s="69"/>
      <c r="D100" s="3"/>
      <c r="E100" s="3"/>
      <c r="G100" s="3"/>
    </row>
    <row r="101" spans="1:7">
      <c r="A101" s="3" t="s">
        <v>389</v>
      </c>
      <c r="B101" s="69"/>
      <c r="D101" s="3"/>
      <c r="E101" s="3"/>
      <c r="G101" s="3"/>
    </row>
    <row r="102" spans="1:7">
      <c r="A102" s="45" t="s">
        <v>22</v>
      </c>
      <c r="B102" s="45" t="s">
        <v>23</v>
      </c>
      <c r="C102" s="45" t="s">
        <v>15</v>
      </c>
      <c r="D102" s="46" t="s">
        <v>24</v>
      </c>
      <c r="E102" s="46" t="s">
        <v>25</v>
      </c>
      <c r="F102" s="46" t="s">
        <v>26</v>
      </c>
      <c r="G102" s="3"/>
    </row>
    <row r="103" spans="1:7">
      <c r="A103" s="51" t="s">
        <v>52</v>
      </c>
      <c r="B103" s="52" t="s">
        <v>35</v>
      </c>
      <c r="C103" s="70">
        <v>1</v>
      </c>
      <c r="D103" s="71">
        <v>5.2</v>
      </c>
      <c r="E103" s="54"/>
      <c r="G103" s="72"/>
    </row>
    <row r="104" spans="1:7">
      <c r="A104" s="51" t="s">
        <v>53</v>
      </c>
      <c r="B104" s="52" t="s">
        <v>54</v>
      </c>
      <c r="C104" s="73">
        <v>26</v>
      </c>
      <c r="D104" s="54"/>
      <c r="E104" s="54"/>
      <c r="G104" s="3"/>
    </row>
    <row r="105" spans="1:7">
      <c r="A105" s="51" t="s">
        <v>55</v>
      </c>
      <c r="B105" s="52" t="s">
        <v>56</v>
      </c>
      <c r="C105" s="74">
        <f>$C$104*2*(C64)</f>
        <v>936</v>
      </c>
      <c r="D105" s="50">
        <f>IFERROR((($C$104*2*$D$103)-(E56*0.06*C104/26))/($C$104*2),"-")</f>
        <v>2.7973346153846164</v>
      </c>
      <c r="E105" s="54">
        <f>IFERROR(C105*D105,"-")</f>
        <v>2618.3052000000007</v>
      </c>
    </row>
    <row r="106" spans="1:7">
      <c r="A106" s="47" t="s">
        <v>57</v>
      </c>
      <c r="B106" s="48" t="s">
        <v>56</v>
      </c>
      <c r="C106" s="74">
        <f>$C$104*2*(C80)</f>
        <v>312</v>
      </c>
      <c r="D106" s="50">
        <f>IFERROR((($C$104*2*$D$103)-(E70*0.06*C104/26))/($C$104*2),"-")</f>
        <v>2.5099230769230778</v>
      </c>
      <c r="E106" s="50">
        <f>IFERROR(C106*D106,"-")</f>
        <v>783.09600000000023</v>
      </c>
      <c r="G106" s="3"/>
    </row>
    <row r="107" spans="1:7">
      <c r="A107" s="47" t="s">
        <v>369</v>
      </c>
      <c r="B107" s="48" t="s">
        <v>56</v>
      </c>
      <c r="C107" s="74">
        <f>$C$104*2*(C97)</f>
        <v>52</v>
      </c>
      <c r="D107" s="50">
        <f>IFERROR((($C$104*2*$D$103)-(E71*0.06*C105/26))/($C$104*2),"-")</f>
        <v>5.2000000000000011</v>
      </c>
      <c r="E107" s="50">
        <f>IFERROR(C107*D107,"-")</f>
        <v>270.40000000000003</v>
      </c>
      <c r="G107" s="3"/>
    </row>
    <row r="108" spans="1:7">
      <c r="F108" s="75">
        <f>SUM(E105:E107)</f>
        <v>3671.8012000000012</v>
      </c>
      <c r="G108" s="3"/>
    </row>
    <row r="109" spans="1:7" ht="11.25" customHeight="1">
      <c r="G109" s="3"/>
    </row>
    <row r="110" spans="1:7">
      <c r="A110" s="3" t="s">
        <v>390</v>
      </c>
      <c r="F110" s="14"/>
      <c r="G110" s="3"/>
    </row>
    <row r="111" spans="1:7">
      <c r="A111" s="45" t="s">
        <v>22</v>
      </c>
      <c r="B111" s="45" t="s">
        <v>23</v>
      </c>
      <c r="C111" s="45" t="s">
        <v>15</v>
      </c>
      <c r="D111" s="46" t="s">
        <v>24</v>
      </c>
      <c r="E111" s="46" t="s">
        <v>25</v>
      </c>
      <c r="F111" s="46" t="s">
        <v>26</v>
      </c>
      <c r="G111" s="3"/>
    </row>
    <row r="112" spans="1:7">
      <c r="A112" s="51" t="str">
        <f>+A105</f>
        <v>Coletor</v>
      </c>
      <c r="B112" s="52" t="s">
        <v>58</v>
      </c>
      <c r="C112" s="74">
        <f>C104*(E39)</f>
        <v>468</v>
      </c>
      <c r="D112" s="76">
        <v>21.65</v>
      </c>
      <c r="E112" s="62">
        <f>C112*D112</f>
        <v>10132.199999999999</v>
      </c>
      <c r="F112" s="14"/>
      <c r="G112" s="3"/>
    </row>
    <row r="113" spans="1:7">
      <c r="A113" s="51" t="str">
        <f>+A106</f>
        <v>Motorista</v>
      </c>
      <c r="B113" s="52" t="s">
        <v>58</v>
      </c>
      <c r="C113" s="74">
        <f>C104*(E40)</f>
        <v>156</v>
      </c>
      <c r="D113" s="76">
        <v>14.69</v>
      </c>
      <c r="E113" s="62">
        <f>C113*D113</f>
        <v>2291.64</v>
      </c>
      <c r="F113" s="14"/>
      <c r="G113" s="3"/>
    </row>
    <row r="114" spans="1:7">
      <c r="A114" s="51" t="str">
        <f>A107</f>
        <v>Fiscal de Coleta (Supervisor)</v>
      </c>
      <c r="B114" s="52" t="s">
        <v>58</v>
      </c>
      <c r="C114" s="74">
        <f>C104*(E41)</f>
        <v>26</v>
      </c>
      <c r="D114" s="76">
        <v>21.65</v>
      </c>
      <c r="E114" s="62">
        <f>C114*D114</f>
        <v>562.9</v>
      </c>
      <c r="F114" s="14"/>
      <c r="G114" s="3"/>
    </row>
    <row r="115" spans="1:7">
      <c r="F115" s="75">
        <f>SUM(E112:E114)</f>
        <v>12986.739999999998</v>
      </c>
      <c r="G115" s="3"/>
    </row>
    <row r="116" spans="1:7">
      <c r="G116" s="3"/>
    </row>
    <row r="117" spans="1:7">
      <c r="A117" s="3" t="s">
        <v>391</v>
      </c>
      <c r="F117" s="14"/>
      <c r="G117" s="3"/>
    </row>
    <row r="118" spans="1:7">
      <c r="A118" s="45" t="s">
        <v>22</v>
      </c>
      <c r="B118" s="45" t="s">
        <v>23</v>
      </c>
      <c r="C118" s="45" t="s">
        <v>15</v>
      </c>
      <c r="D118" s="46" t="s">
        <v>24</v>
      </c>
      <c r="E118" s="46" t="s">
        <v>25</v>
      </c>
      <c r="F118" s="46" t="s">
        <v>26</v>
      </c>
      <c r="G118" s="3"/>
    </row>
    <row r="119" spans="1:7">
      <c r="A119" s="51" t="s">
        <v>369</v>
      </c>
      <c r="B119" s="52" t="s">
        <v>58</v>
      </c>
      <c r="C119" s="74">
        <v>1</v>
      </c>
      <c r="D119" s="76">
        <v>110.4</v>
      </c>
      <c r="E119" s="62">
        <f>C119*D119</f>
        <v>110.4</v>
      </c>
      <c r="F119" s="14"/>
      <c r="G119" s="3"/>
    </row>
    <row r="120" spans="1:7">
      <c r="A120" s="51" t="str">
        <f>+A113</f>
        <v>Motorista</v>
      </c>
      <c r="B120" s="52" t="s">
        <v>58</v>
      </c>
      <c r="C120" s="74">
        <f>C80</f>
        <v>6</v>
      </c>
      <c r="D120" s="76">
        <v>110.4</v>
      </c>
      <c r="E120" s="62">
        <f>C120*D120</f>
        <v>662.40000000000009</v>
      </c>
      <c r="F120" s="14"/>
      <c r="G120" s="3"/>
    </row>
    <row r="121" spans="1:7">
      <c r="D121" s="61" t="s">
        <v>43</v>
      </c>
      <c r="E121" s="62">
        <f>$B$50</f>
        <v>1</v>
      </c>
      <c r="F121" s="75">
        <f>SUM(E119:E120)*E121</f>
        <v>772.80000000000007</v>
      </c>
      <c r="G121" s="3"/>
    </row>
    <row r="122" spans="1:7">
      <c r="D122" s="61"/>
      <c r="E122" s="227"/>
      <c r="F122" s="311"/>
      <c r="G122" s="3"/>
    </row>
    <row r="123" spans="1:7">
      <c r="A123" s="3" t="s">
        <v>392</v>
      </c>
      <c r="D123" s="61"/>
      <c r="E123" s="227"/>
      <c r="F123" s="311"/>
      <c r="G123" s="3"/>
    </row>
    <row r="124" spans="1:7">
      <c r="A124" s="97" t="s">
        <v>22</v>
      </c>
      <c r="B124" s="97" t="s">
        <v>23</v>
      </c>
      <c r="C124" s="97" t="s">
        <v>15</v>
      </c>
      <c r="D124" s="98" t="s">
        <v>24</v>
      </c>
      <c r="E124" s="98" t="s">
        <v>25</v>
      </c>
      <c r="F124" s="46" t="s">
        <v>26</v>
      </c>
      <c r="G124" s="3"/>
    </row>
    <row r="125" spans="1:7">
      <c r="A125" s="312" t="s">
        <v>375</v>
      </c>
      <c r="B125" s="312" t="s">
        <v>23</v>
      </c>
      <c r="C125" s="312">
        <v>18</v>
      </c>
      <c r="D125" s="230">
        <v>24.1</v>
      </c>
      <c r="E125" s="231">
        <f>C125*D125</f>
        <v>433.8</v>
      </c>
      <c r="F125" s="311"/>
      <c r="G125" s="3"/>
    </row>
    <row r="126" spans="1:7">
      <c r="A126" s="312" t="s">
        <v>376</v>
      </c>
      <c r="B126" s="312"/>
      <c r="C126" s="312"/>
      <c r="D126" s="230"/>
      <c r="E126" s="231">
        <v>0</v>
      </c>
      <c r="F126" s="46">
        <f>E125</f>
        <v>433.8</v>
      </c>
      <c r="G126" s="3"/>
    </row>
    <row r="127" spans="1:7">
      <c r="D127" s="61"/>
      <c r="E127" s="227"/>
      <c r="F127" s="311"/>
      <c r="G127" s="3"/>
    </row>
    <row r="128" spans="1:7">
      <c r="A128" s="3" t="s">
        <v>393</v>
      </c>
      <c r="D128" s="61"/>
      <c r="E128" s="227"/>
      <c r="F128" s="311"/>
      <c r="G128" s="3"/>
    </row>
    <row r="129" spans="1:7">
      <c r="A129" s="97" t="s">
        <v>22</v>
      </c>
      <c r="B129" s="97" t="s">
        <v>23</v>
      </c>
      <c r="C129" s="97" t="s">
        <v>15</v>
      </c>
      <c r="D129" s="98" t="s">
        <v>24</v>
      </c>
      <c r="E129" s="98" t="s">
        <v>25</v>
      </c>
      <c r="F129" s="46" t="s">
        <v>26</v>
      </c>
      <c r="G129" s="3"/>
    </row>
    <row r="130" spans="1:7">
      <c r="A130" s="312" t="s">
        <v>377</v>
      </c>
      <c r="B130" s="312" t="s">
        <v>23</v>
      </c>
      <c r="C130" s="312">
        <v>6</v>
      </c>
      <c r="D130" s="230">
        <v>90.6</v>
      </c>
      <c r="E130" s="231">
        <f>C130*D130</f>
        <v>543.59999999999991</v>
      </c>
      <c r="F130" s="311"/>
      <c r="G130" s="3"/>
    </row>
    <row r="131" spans="1:7">
      <c r="A131" s="312" t="s">
        <v>378</v>
      </c>
      <c r="B131" s="312"/>
      <c r="C131" s="312"/>
      <c r="D131" s="230"/>
      <c r="E131" s="231">
        <v>0</v>
      </c>
      <c r="F131" s="46">
        <f>E130</f>
        <v>543.59999999999991</v>
      </c>
      <c r="G131" s="3"/>
    </row>
    <row r="132" spans="1:7">
      <c r="D132" s="61"/>
      <c r="E132" s="227"/>
      <c r="F132" s="311"/>
      <c r="G132" s="3"/>
    </row>
    <row r="133" spans="1:7">
      <c r="A133" s="3" t="s">
        <v>394</v>
      </c>
      <c r="D133" s="61"/>
      <c r="E133" s="227"/>
      <c r="F133" s="311"/>
      <c r="G133" s="3"/>
    </row>
    <row r="134" spans="1:7">
      <c r="A134" s="97" t="s">
        <v>22</v>
      </c>
      <c r="B134" s="97" t="s">
        <v>23</v>
      </c>
      <c r="C134" s="97" t="s">
        <v>15</v>
      </c>
      <c r="D134" s="98" t="s">
        <v>24</v>
      </c>
      <c r="E134" s="98" t="s">
        <v>25</v>
      </c>
      <c r="F134" s="46" t="s">
        <v>26</v>
      </c>
      <c r="G134" s="3"/>
    </row>
    <row r="135" spans="1:7">
      <c r="A135" s="51" t="s">
        <v>388</v>
      </c>
      <c r="B135" s="52" t="s">
        <v>58</v>
      </c>
      <c r="C135" s="74">
        <f>C64</f>
        <v>18</v>
      </c>
      <c r="D135" s="76">
        <v>80</v>
      </c>
      <c r="E135" s="62">
        <f>C135*D135</f>
        <v>1440</v>
      </c>
      <c r="F135" s="14"/>
      <c r="G135" s="3"/>
    </row>
    <row r="136" spans="1:7">
      <c r="A136" s="312" t="s">
        <v>374</v>
      </c>
      <c r="B136" s="312"/>
      <c r="C136" s="312"/>
      <c r="D136" s="230"/>
      <c r="E136" s="231">
        <v>0</v>
      </c>
      <c r="F136" s="46">
        <f>E135</f>
        <v>1440</v>
      </c>
      <c r="G136" s="3"/>
    </row>
    <row r="137" spans="1:7">
      <c r="G137" s="3"/>
    </row>
    <row r="138" spans="1:7" ht="2.25" customHeight="1">
      <c r="G138" s="3"/>
    </row>
    <row r="139" spans="1:7">
      <c r="A139" s="77" t="s">
        <v>59</v>
      </c>
      <c r="B139" s="78"/>
      <c r="C139" s="78"/>
      <c r="D139" s="8"/>
      <c r="E139" s="79"/>
      <c r="F139" s="75">
        <f>F121+F115+F108+F81+F65+F126+F131+F136+F98</f>
        <v>162828.52103732832</v>
      </c>
      <c r="G139" s="3"/>
    </row>
    <row r="140" spans="1:7" ht="9" customHeight="1"/>
    <row r="141" spans="1:7">
      <c r="A141" s="15" t="s">
        <v>60</v>
      </c>
      <c r="G141" s="3"/>
    </row>
    <row r="142" spans="1:7" ht="13.9" customHeight="1">
      <c r="A142" s="3" t="s">
        <v>365</v>
      </c>
      <c r="G142" s="3"/>
    </row>
    <row r="143" spans="1:7" ht="27.75" customHeight="1">
      <c r="A143" s="45" t="s">
        <v>22</v>
      </c>
      <c r="B143" s="45" t="s">
        <v>23</v>
      </c>
      <c r="C143" s="80" t="s">
        <v>61</v>
      </c>
      <c r="D143" s="46" t="s">
        <v>24</v>
      </c>
      <c r="E143" s="46" t="s">
        <v>25</v>
      </c>
      <c r="F143" s="46" t="s">
        <v>26</v>
      </c>
      <c r="G143" s="3"/>
    </row>
    <row r="144" spans="1:7" ht="13.15" customHeight="1">
      <c r="A144" s="51" t="s">
        <v>364</v>
      </c>
      <c r="B144" s="52" t="s">
        <v>58</v>
      </c>
      <c r="C144" s="304">
        <v>6</v>
      </c>
      <c r="D144" s="49">
        <v>160</v>
      </c>
      <c r="E144" s="50">
        <f t="shared" ref="E144:E155" si="1">IFERROR(D144/C144,0)</f>
        <v>26.666666666666668</v>
      </c>
      <c r="G144" s="3"/>
    </row>
    <row r="145" spans="1:64" ht="13.15" customHeight="1">
      <c r="A145" s="51" t="s">
        <v>62</v>
      </c>
      <c r="B145" s="52" t="s">
        <v>58</v>
      </c>
      <c r="C145" s="304">
        <v>4</v>
      </c>
      <c r="D145" s="49">
        <v>78.33</v>
      </c>
      <c r="E145" s="50">
        <f t="shared" ref="E145" si="2">IFERROR(D145/C145,0)</f>
        <v>19.5825</v>
      </c>
      <c r="G145" s="3"/>
    </row>
    <row r="146" spans="1:64" ht="13.15" customHeight="1">
      <c r="A146" s="51" t="s">
        <v>372</v>
      </c>
      <c r="B146" s="52" t="s">
        <v>58</v>
      </c>
      <c r="C146" s="304">
        <v>4</v>
      </c>
      <c r="D146" s="49">
        <v>81</v>
      </c>
      <c r="E146" s="50">
        <f t="shared" ref="E146" si="3">IFERROR(D146/C146,0)</f>
        <v>20.25</v>
      </c>
      <c r="G146" s="3"/>
    </row>
    <row r="147" spans="1:64">
      <c r="A147" s="51" t="s">
        <v>63</v>
      </c>
      <c r="B147" s="52" t="s">
        <v>58</v>
      </c>
      <c r="C147" s="304">
        <v>4</v>
      </c>
      <c r="D147" s="49">
        <v>45</v>
      </c>
      <c r="E147" s="50">
        <f t="shared" si="1"/>
        <v>11.25</v>
      </c>
      <c r="G147" s="3"/>
    </row>
    <row r="148" spans="1:64" ht="13.15" customHeight="1">
      <c r="A148" s="51" t="s">
        <v>64</v>
      </c>
      <c r="B148" s="52" t="s">
        <v>58</v>
      </c>
      <c r="C148" s="304">
        <v>3</v>
      </c>
      <c r="D148" s="49">
        <v>15.62</v>
      </c>
      <c r="E148" s="50">
        <f t="shared" si="1"/>
        <v>5.2066666666666661</v>
      </c>
      <c r="G148" s="3"/>
    </row>
    <row r="149" spans="1:64" ht="13.9" customHeight="1">
      <c r="A149" s="51" t="s">
        <v>65</v>
      </c>
      <c r="B149" s="52" t="s">
        <v>66</v>
      </c>
      <c r="C149" s="304">
        <v>6</v>
      </c>
      <c r="D149" s="49">
        <v>88.69</v>
      </c>
      <c r="E149" s="50">
        <f t="shared" si="1"/>
        <v>14.781666666666666</v>
      </c>
      <c r="G149" s="3"/>
    </row>
    <row r="150" spans="1:64" ht="13.15" customHeight="1">
      <c r="A150" s="51" t="s">
        <v>67</v>
      </c>
      <c r="B150" s="52" t="s">
        <v>66</v>
      </c>
      <c r="C150" s="304">
        <v>3</v>
      </c>
      <c r="D150" s="49">
        <v>8.16</v>
      </c>
      <c r="E150" s="50">
        <f t="shared" si="1"/>
        <v>2.72</v>
      </c>
    </row>
    <row r="151" spans="1:64">
      <c r="A151" s="51" t="s">
        <v>68</v>
      </c>
      <c r="B151" s="52" t="s">
        <v>58</v>
      </c>
      <c r="C151" s="304">
        <v>4</v>
      </c>
      <c r="D151" s="49">
        <v>67.62</v>
      </c>
      <c r="E151" s="50">
        <f t="shared" si="1"/>
        <v>16.905000000000001</v>
      </c>
    </row>
    <row r="152" spans="1:64">
      <c r="A152" s="82" t="s">
        <v>69</v>
      </c>
      <c r="B152" s="83" t="s">
        <v>58</v>
      </c>
      <c r="C152" s="304">
        <v>6</v>
      </c>
      <c r="D152" s="49">
        <v>25.75</v>
      </c>
      <c r="E152" s="50">
        <f t="shared" si="1"/>
        <v>4.291666666666667</v>
      </c>
      <c r="F152" s="84"/>
      <c r="G152" s="84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</row>
    <row r="153" spans="1:64">
      <c r="A153" s="51" t="s">
        <v>70</v>
      </c>
      <c r="B153" s="52" t="s">
        <v>66</v>
      </c>
      <c r="C153" s="81">
        <v>0.25</v>
      </c>
      <c r="D153" s="49">
        <v>15.48</v>
      </c>
      <c r="E153" s="50">
        <f t="shared" si="1"/>
        <v>61.92</v>
      </c>
    </row>
    <row r="154" spans="1:64">
      <c r="A154" s="51" t="s">
        <v>373</v>
      </c>
      <c r="B154" s="52" t="s">
        <v>58</v>
      </c>
      <c r="C154" s="310">
        <v>6</v>
      </c>
      <c r="D154" s="49">
        <v>23.71</v>
      </c>
      <c r="E154" s="50">
        <f t="shared" ref="E154" si="4">IFERROR(D154/C154,0)</f>
        <v>3.9516666666666667</v>
      </c>
    </row>
    <row r="155" spans="1:64" ht="13.15" customHeight="1">
      <c r="A155" s="51" t="s">
        <v>71</v>
      </c>
      <c r="B155" s="52" t="s">
        <v>72</v>
      </c>
      <c r="C155" s="304">
        <v>1.5</v>
      </c>
      <c r="D155" s="49">
        <v>14.16</v>
      </c>
      <c r="E155" s="50">
        <f t="shared" si="1"/>
        <v>9.44</v>
      </c>
    </row>
    <row r="156" spans="1:64">
      <c r="A156" s="51" t="s">
        <v>73</v>
      </c>
      <c r="B156" s="52" t="s">
        <v>74</v>
      </c>
      <c r="C156" s="86">
        <v>1</v>
      </c>
      <c r="D156" s="49">
        <v>128</v>
      </c>
      <c r="E156" s="54">
        <f>C156*D156</f>
        <v>128</v>
      </c>
    </row>
    <row r="157" spans="1:64">
      <c r="A157" s="51" t="s">
        <v>41</v>
      </c>
      <c r="B157" s="52" t="s">
        <v>42</v>
      </c>
      <c r="C157" s="225">
        <v>18</v>
      </c>
      <c r="D157" s="54">
        <f>+SUM(E144:E156)</f>
        <v>324.96583333333331</v>
      </c>
      <c r="E157" s="54">
        <f>C157*D157</f>
        <v>5849.3849999999993</v>
      </c>
    </row>
    <row r="158" spans="1:64">
      <c r="D158" s="61" t="s">
        <v>43</v>
      </c>
      <c r="E158" s="62">
        <f>$B$50</f>
        <v>1</v>
      </c>
      <c r="F158" s="63">
        <f>E157*E158</f>
        <v>5849.3849999999993</v>
      </c>
    </row>
    <row r="159" spans="1:64" ht="13.9" customHeight="1">
      <c r="A159" s="3" t="s">
        <v>366</v>
      </c>
    </row>
    <row r="160" spans="1:64" ht="6.75" customHeight="1"/>
    <row r="161" spans="1:11" ht="24">
      <c r="A161" s="45" t="s">
        <v>22</v>
      </c>
      <c r="B161" s="45" t="s">
        <v>23</v>
      </c>
      <c r="C161" s="80" t="s">
        <v>61</v>
      </c>
      <c r="D161" s="46" t="s">
        <v>24</v>
      </c>
      <c r="E161" s="46" t="s">
        <v>25</v>
      </c>
      <c r="F161" s="46" t="s">
        <v>26</v>
      </c>
    </row>
    <row r="162" spans="1:11">
      <c r="A162" s="51" t="s">
        <v>364</v>
      </c>
      <c r="B162" s="52" t="s">
        <v>58</v>
      </c>
      <c r="C162" s="304">
        <v>12</v>
      </c>
      <c r="D162" s="54">
        <f>+D144</f>
        <v>160</v>
      </c>
      <c r="E162" s="50">
        <f t="shared" ref="E162:E169" si="5">IFERROR(D162/C162,0)</f>
        <v>13.333333333333334</v>
      </c>
    </row>
    <row r="163" spans="1:11">
      <c r="A163" s="51" t="s">
        <v>62</v>
      </c>
      <c r="B163" s="52" t="s">
        <v>58</v>
      </c>
      <c r="C163" s="304">
        <v>2</v>
      </c>
      <c r="D163" s="54">
        <f>+D145</f>
        <v>78.33</v>
      </c>
      <c r="E163" s="50">
        <f t="shared" si="5"/>
        <v>39.164999999999999</v>
      </c>
    </row>
    <row r="164" spans="1:11">
      <c r="A164" s="51" t="s">
        <v>372</v>
      </c>
      <c r="B164" s="52" t="s">
        <v>58</v>
      </c>
      <c r="C164" s="304">
        <v>4</v>
      </c>
      <c r="D164" s="54">
        <f>D146</f>
        <v>81</v>
      </c>
      <c r="E164" s="50">
        <f t="shared" si="5"/>
        <v>20.25</v>
      </c>
    </row>
    <row r="165" spans="1:11">
      <c r="A165" s="51" t="s">
        <v>63</v>
      </c>
      <c r="B165" s="52" t="s">
        <v>58</v>
      </c>
      <c r="C165" s="304">
        <v>3</v>
      </c>
      <c r="D165" s="54">
        <f>+D147</f>
        <v>45</v>
      </c>
      <c r="E165" s="50">
        <f t="shared" si="5"/>
        <v>15</v>
      </c>
    </row>
    <row r="166" spans="1:11">
      <c r="A166" s="51" t="s">
        <v>65</v>
      </c>
      <c r="B166" s="52" t="s">
        <v>66</v>
      </c>
      <c r="C166" s="304">
        <v>6</v>
      </c>
      <c r="D166" s="54">
        <f>+D149</f>
        <v>88.69</v>
      </c>
      <c r="E166" s="50">
        <f t="shared" si="5"/>
        <v>14.781666666666666</v>
      </c>
    </row>
    <row r="167" spans="1:11">
      <c r="A167" s="51" t="s">
        <v>68</v>
      </c>
      <c r="B167" s="52" t="s">
        <v>58</v>
      </c>
      <c r="C167" s="304">
        <v>6</v>
      </c>
      <c r="D167" s="54">
        <f>+D151</f>
        <v>67.62</v>
      </c>
      <c r="E167" s="50">
        <f t="shared" si="5"/>
        <v>11.270000000000001</v>
      </c>
      <c r="G167" s="3"/>
    </row>
    <row r="168" spans="1:11">
      <c r="A168" s="51" t="s">
        <v>373</v>
      </c>
      <c r="B168" s="52" t="s">
        <v>58</v>
      </c>
      <c r="C168" s="304">
        <v>6</v>
      </c>
      <c r="D168" s="54">
        <f>D154</f>
        <v>23.71</v>
      </c>
      <c r="E168" s="50">
        <f t="shared" si="5"/>
        <v>3.9516666666666667</v>
      </c>
      <c r="G168" s="3"/>
    </row>
    <row r="169" spans="1:11">
      <c r="A169" s="51" t="s">
        <v>71</v>
      </c>
      <c r="B169" s="52" t="s">
        <v>72</v>
      </c>
      <c r="C169" s="304">
        <v>2</v>
      </c>
      <c r="D169" s="54">
        <f>+D155</f>
        <v>14.16</v>
      </c>
      <c r="E169" s="50">
        <f t="shared" si="5"/>
        <v>7.08</v>
      </c>
      <c r="G169" s="3"/>
    </row>
    <row r="170" spans="1:11">
      <c r="A170" s="51" t="s">
        <v>73</v>
      </c>
      <c r="B170" s="52" t="s">
        <v>74</v>
      </c>
      <c r="C170" s="86">
        <v>1</v>
      </c>
      <c r="D170" s="49">
        <v>128</v>
      </c>
      <c r="E170" s="54">
        <f>C170*D170</f>
        <v>128</v>
      </c>
      <c r="G170" s="3"/>
    </row>
    <row r="171" spans="1:11">
      <c r="A171" s="51" t="s">
        <v>41</v>
      </c>
      <c r="B171" s="52" t="s">
        <v>42</v>
      </c>
      <c r="C171" s="260">
        <v>7</v>
      </c>
      <c r="D171" s="54">
        <f>+SUM(E162:E170)</f>
        <v>252.83166666666665</v>
      </c>
      <c r="E171" s="54">
        <f>C171*D171</f>
        <v>1769.8216666666665</v>
      </c>
      <c r="G171" s="3"/>
    </row>
    <row r="172" spans="1:11">
      <c r="D172" s="61" t="s">
        <v>43</v>
      </c>
      <c r="E172" s="62">
        <f>$B$50</f>
        <v>1</v>
      </c>
      <c r="F172" s="63">
        <f>E171*E172</f>
        <v>1769.8216666666665</v>
      </c>
      <c r="G172" s="3"/>
    </row>
    <row r="173" spans="1:11" ht="11.25" customHeight="1">
      <c r="G173" s="3"/>
    </row>
    <row r="174" spans="1:11">
      <c r="A174" s="77" t="s">
        <v>75</v>
      </c>
      <c r="B174" s="40"/>
      <c r="C174" s="40"/>
      <c r="D174" s="29"/>
      <c r="E174" s="87"/>
      <c r="F174" s="88">
        <f>+F158+F172</f>
        <v>7619.206666666666</v>
      </c>
      <c r="G174" s="3"/>
    </row>
    <row r="175" spans="1:11" ht="6" customHeight="1">
      <c r="G175" s="3"/>
    </row>
    <row r="176" spans="1:11">
      <c r="A176" s="15" t="s">
        <v>76</v>
      </c>
      <c r="G176" s="3"/>
      <c r="H176" s="299">
        <v>541215</v>
      </c>
      <c r="I176" s="299">
        <v>465854</v>
      </c>
      <c r="J176" s="300">
        <v>531.03800000000001</v>
      </c>
      <c r="K176" s="299">
        <v>538950</v>
      </c>
    </row>
    <row r="177" spans="1:10" ht="4.5" customHeight="1">
      <c r="B177" s="89"/>
      <c r="G177" s="3"/>
    </row>
    <row r="178" spans="1:10">
      <c r="A178" s="5" t="s">
        <v>395</v>
      </c>
      <c r="G178" s="3"/>
    </row>
    <row r="179" spans="1:10" ht="9" customHeight="1">
      <c r="G179" s="3"/>
      <c r="I179" s="300">
        <f>(H176+I176+J176+K176)/4</f>
        <v>386637.50949999999</v>
      </c>
    </row>
    <row r="180" spans="1:10">
      <c r="A180" s="89" t="s">
        <v>77</v>
      </c>
      <c r="G180" s="3"/>
    </row>
    <row r="181" spans="1:10">
      <c r="A181" s="45" t="s">
        <v>22</v>
      </c>
      <c r="B181" s="45" t="s">
        <v>23</v>
      </c>
      <c r="C181" s="45" t="s">
        <v>15</v>
      </c>
      <c r="D181" s="46" t="s">
        <v>24</v>
      </c>
      <c r="E181" s="46" t="s">
        <v>25</v>
      </c>
      <c r="F181" s="46" t="s">
        <v>26</v>
      </c>
      <c r="G181" s="3"/>
    </row>
    <row r="182" spans="1:10">
      <c r="A182" s="47" t="s">
        <v>78</v>
      </c>
      <c r="B182" s="48" t="s">
        <v>58</v>
      </c>
      <c r="C182" s="48">
        <v>1</v>
      </c>
      <c r="D182" s="49">
        <v>587097.80000000005</v>
      </c>
      <c r="E182" s="50">
        <f>C182*D182</f>
        <v>587097.80000000005</v>
      </c>
      <c r="G182" s="3"/>
    </row>
    <row r="183" spans="1:10">
      <c r="A183" s="51" t="s">
        <v>79</v>
      </c>
      <c r="B183" s="52" t="s">
        <v>80</v>
      </c>
      <c r="C183" s="60">
        <v>10</v>
      </c>
      <c r="D183" s="54"/>
      <c r="E183" s="54"/>
      <c r="G183" s="3"/>
    </row>
    <row r="184" spans="1:10">
      <c r="A184" s="51" t="s">
        <v>81</v>
      </c>
      <c r="B184" s="52" t="s">
        <v>80</v>
      </c>
      <c r="C184" s="223">
        <v>10</v>
      </c>
      <c r="D184" s="54"/>
      <c r="E184" s="54"/>
      <c r="F184" s="90"/>
      <c r="I184" s="91"/>
      <c r="J184" s="91"/>
    </row>
    <row r="185" spans="1:10">
      <c r="A185" s="51" t="s">
        <v>82</v>
      </c>
      <c r="B185" s="52" t="s">
        <v>4</v>
      </c>
      <c r="C185" s="59">
        <f>IFERROR(VLOOKUP(C183,'5__Depreciação'!A3:B17,2,0),0)</f>
        <v>65.180000000000007</v>
      </c>
      <c r="D185" s="54">
        <f>E182</f>
        <v>587097.80000000005</v>
      </c>
      <c r="E185" s="54">
        <f>C185*D185/100</f>
        <v>382670.34604000009</v>
      </c>
    </row>
    <row r="186" spans="1:10" ht="13.5" thickBot="1">
      <c r="A186" s="92" t="s">
        <v>83</v>
      </c>
      <c r="B186" s="93" t="s">
        <v>28</v>
      </c>
      <c r="C186" s="93">
        <f>C183*12</f>
        <v>120</v>
      </c>
      <c r="D186" s="94">
        <f>IF(C184&lt;=C183,E185,0)</f>
        <v>382670.34604000009</v>
      </c>
      <c r="E186" s="94">
        <f>IFERROR(D186/C186,0)</f>
        <v>3188.919550333334</v>
      </c>
    </row>
    <row r="187" spans="1:10" ht="13.5" thickTop="1">
      <c r="A187" s="47" t="s">
        <v>84</v>
      </c>
      <c r="B187" s="48" t="s">
        <v>58</v>
      </c>
      <c r="C187" s="48">
        <v>1</v>
      </c>
      <c r="D187" s="49">
        <v>266200</v>
      </c>
      <c r="E187" s="50">
        <f>C187*D187</f>
        <v>266200</v>
      </c>
      <c r="G187" s="197"/>
    </row>
    <row r="188" spans="1:10">
      <c r="A188" s="51" t="s">
        <v>85</v>
      </c>
      <c r="B188" s="52" t="s">
        <v>80</v>
      </c>
      <c r="C188" s="60">
        <v>10</v>
      </c>
      <c r="D188" s="54"/>
      <c r="E188" s="54"/>
    </row>
    <row r="189" spans="1:10">
      <c r="A189" s="51" t="s">
        <v>86</v>
      </c>
      <c r="B189" s="52" t="s">
        <v>80</v>
      </c>
      <c r="C189" s="223">
        <v>10</v>
      </c>
      <c r="D189" s="54"/>
      <c r="E189" s="54"/>
      <c r="F189" s="90"/>
      <c r="I189" s="91"/>
      <c r="J189" s="91"/>
    </row>
    <row r="190" spans="1:10">
      <c r="A190" s="51" t="s">
        <v>87</v>
      </c>
      <c r="B190" s="52" t="s">
        <v>4</v>
      </c>
      <c r="C190" s="59">
        <f>IFERROR(VLOOKUP(C188,'5__Depreciação'!A3:B17,2,0),0)</f>
        <v>65.180000000000007</v>
      </c>
      <c r="D190" s="54">
        <f>E187</f>
        <v>266200</v>
      </c>
      <c r="E190" s="54">
        <f>C190*D190/100</f>
        <v>173509.16</v>
      </c>
    </row>
    <row r="191" spans="1:10">
      <c r="A191" s="66" t="s">
        <v>88</v>
      </c>
      <c r="B191" s="39" t="s">
        <v>28</v>
      </c>
      <c r="C191" s="39">
        <f>C188*12</f>
        <v>120</v>
      </c>
      <c r="D191" s="10">
        <f>IF(C189&lt;=C188,E190,0)</f>
        <v>173509.16</v>
      </c>
      <c r="E191" s="10">
        <f>IFERROR(D191/C191,0)</f>
        <v>1445.9096666666667</v>
      </c>
    </row>
    <row r="192" spans="1:10">
      <c r="A192" s="55" t="s">
        <v>89</v>
      </c>
      <c r="B192" s="56"/>
      <c r="C192" s="56"/>
      <c r="D192" s="57"/>
      <c r="E192" s="58">
        <f>E186+E191</f>
        <v>4634.8292170000004</v>
      </c>
    </row>
    <row r="193" spans="1:10">
      <c r="A193" s="66" t="s">
        <v>90</v>
      </c>
      <c r="B193" s="39" t="s">
        <v>58</v>
      </c>
      <c r="C193" s="60">
        <v>6</v>
      </c>
      <c r="D193" s="10">
        <f>E192</f>
        <v>4634.8292170000004</v>
      </c>
      <c r="E193" s="58">
        <f>C193*D193</f>
        <v>27808.975302000003</v>
      </c>
    </row>
    <row r="194" spans="1:10">
      <c r="A194" s="95"/>
      <c r="B194" s="95"/>
      <c r="C194" s="95"/>
      <c r="D194" s="61" t="s">
        <v>43</v>
      </c>
      <c r="E194" s="62">
        <v>1.1000000000000001</v>
      </c>
      <c r="F194" s="88">
        <f>E193*E194</f>
        <v>30589.872832200006</v>
      </c>
    </row>
    <row r="195" spans="1:10" ht="11.25" customHeight="1"/>
    <row r="196" spans="1:10" ht="11.25" customHeight="1">
      <c r="A196" s="96" t="s">
        <v>91</v>
      </c>
    </row>
    <row r="197" spans="1:10" ht="11.25" customHeight="1"/>
    <row r="198" spans="1:10">
      <c r="A198" s="89" t="s">
        <v>92</v>
      </c>
    </row>
    <row r="199" spans="1:10">
      <c r="A199" s="97" t="s">
        <v>22</v>
      </c>
      <c r="B199" s="97" t="s">
        <v>23</v>
      </c>
      <c r="C199" s="97" t="s">
        <v>15</v>
      </c>
      <c r="D199" s="46" t="s">
        <v>24</v>
      </c>
      <c r="E199" s="98" t="s">
        <v>25</v>
      </c>
      <c r="F199" s="46" t="s">
        <v>26</v>
      </c>
      <c r="I199" s="91"/>
      <c r="J199" s="91"/>
    </row>
    <row r="200" spans="1:10">
      <c r="A200" s="51" t="s">
        <v>93</v>
      </c>
      <c r="B200" s="52" t="s">
        <v>58</v>
      </c>
      <c r="C200" s="48">
        <v>1</v>
      </c>
      <c r="D200" s="10">
        <f>D182</f>
        <v>587097.80000000005</v>
      </c>
      <c r="E200" s="54">
        <f>C200*D200</f>
        <v>587097.80000000005</v>
      </c>
      <c r="F200" s="90"/>
      <c r="I200" s="91"/>
      <c r="J200" s="91"/>
    </row>
    <row r="201" spans="1:10">
      <c r="A201" s="51" t="s">
        <v>94</v>
      </c>
      <c r="B201" s="52" t="s">
        <v>4</v>
      </c>
      <c r="C201" s="53">
        <v>14.25</v>
      </c>
      <c r="D201" s="54"/>
      <c r="E201" s="54"/>
      <c r="F201" s="90"/>
      <c r="I201" s="91"/>
      <c r="J201" s="91"/>
    </row>
    <row r="202" spans="1:10">
      <c r="A202" s="51" t="s">
        <v>95</v>
      </c>
      <c r="B202" s="52" t="s">
        <v>35</v>
      </c>
      <c r="C202" s="99">
        <f>IFERROR(IF(C184&lt;=C183,E182-(C185/(100*C183)*C184)*E182,E182-E185),0)</f>
        <v>204427.45396000001</v>
      </c>
      <c r="D202" s="54"/>
      <c r="E202" s="54"/>
      <c r="F202" s="90"/>
      <c r="I202" s="91"/>
      <c r="J202" s="91"/>
    </row>
    <row r="203" spans="1:10">
      <c r="A203" s="51" t="s">
        <v>96</v>
      </c>
      <c r="B203" s="52" t="s">
        <v>35</v>
      </c>
      <c r="C203" s="54">
        <f>IFERROR(IF(C184&gt;=C183,C202,((((C202)-(E182-E185))*(((C183-C184)+1)/(2*(C183-C184))))+(E182-E185))),0)</f>
        <v>204427.45396000001</v>
      </c>
      <c r="D203" s="54"/>
      <c r="E203" s="54"/>
      <c r="F203" s="90"/>
      <c r="I203" s="91"/>
      <c r="J203" s="91"/>
    </row>
    <row r="204" spans="1:10" ht="13.5" thickBot="1">
      <c r="A204" s="92" t="s">
        <v>97</v>
      </c>
      <c r="B204" s="93" t="s">
        <v>35</v>
      </c>
      <c r="C204" s="93"/>
      <c r="D204" s="94">
        <f>C201*C203/12/100</f>
        <v>2427.5760157750001</v>
      </c>
      <c r="E204" s="94">
        <f>D204</f>
        <v>2427.5760157750001</v>
      </c>
      <c r="F204" s="90"/>
      <c r="I204" s="91"/>
      <c r="J204" s="91"/>
    </row>
    <row r="205" spans="1:10" ht="13.5" thickTop="1">
      <c r="A205" s="47" t="s">
        <v>98</v>
      </c>
      <c r="B205" s="48" t="s">
        <v>58</v>
      </c>
      <c r="C205" s="48">
        <f>C187</f>
        <v>1</v>
      </c>
      <c r="D205" s="307">
        <f>D187</f>
        <v>266200</v>
      </c>
      <c r="E205" s="50">
        <f>C205*D205</f>
        <v>266200</v>
      </c>
      <c r="F205" s="90"/>
      <c r="I205" s="91"/>
      <c r="J205" s="91"/>
    </row>
    <row r="206" spans="1:10">
      <c r="A206" s="51" t="s">
        <v>94</v>
      </c>
      <c r="B206" s="52" t="s">
        <v>4</v>
      </c>
      <c r="C206" s="226">
        <v>14.25</v>
      </c>
      <c r="D206" s="54"/>
      <c r="E206" s="54"/>
      <c r="F206" s="90"/>
      <c r="I206" s="91"/>
      <c r="J206" s="91"/>
    </row>
    <row r="207" spans="1:10">
      <c r="A207" s="51" t="s">
        <v>99</v>
      </c>
      <c r="B207" s="52" t="s">
        <v>35</v>
      </c>
      <c r="C207" s="99">
        <f>IFERROR(IF(C189&lt;=C188,E187-(C190/(100*C188)*C189)*E187,E187-E190),0)</f>
        <v>92690.84</v>
      </c>
      <c r="D207" s="54"/>
      <c r="E207" s="54"/>
      <c r="F207" s="90"/>
      <c r="I207" s="91"/>
      <c r="J207" s="91"/>
    </row>
    <row r="208" spans="1:10">
      <c r="A208" s="51" t="s">
        <v>100</v>
      </c>
      <c r="B208" s="52" t="s">
        <v>35</v>
      </c>
      <c r="C208" s="54">
        <f>IFERROR(IF(C189&gt;=C188,C207,((((C207)-(E187-E190))*(((C188-C189)+1)/(2*(C188-C189))))+(E187-E190))),0)</f>
        <v>92690.84</v>
      </c>
      <c r="D208" s="54"/>
      <c r="E208" s="54"/>
      <c r="F208" s="90"/>
      <c r="I208" s="91"/>
      <c r="J208" s="91"/>
    </row>
    <row r="209" spans="1:10">
      <c r="A209" s="66" t="s">
        <v>101</v>
      </c>
      <c r="B209" s="39" t="s">
        <v>35</v>
      </c>
      <c r="C209" s="39"/>
      <c r="D209" s="10">
        <f>C206*C208/12/100</f>
        <v>1100.7037250000001</v>
      </c>
      <c r="E209" s="10">
        <f>D209</f>
        <v>1100.7037250000001</v>
      </c>
      <c r="F209" s="90"/>
      <c r="I209" s="91"/>
      <c r="J209" s="91"/>
    </row>
    <row r="210" spans="1:10">
      <c r="A210" s="55" t="s">
        <v>89</v>
      </c>
      <c r="B210" s="56"/>
      <c r="C210" s="56"/>
      <c r="D210" s="57"/>
      <c r="E210" s="58">
        <f>E204+E209</f>
        <v>3528.2797407750004</v>
      </c>
      <c r="F210" s="90"/>
      <c r="I210" s="91"/>
      <c r="J210" s="91"/>
    </row>
    <row r="211" spans="1:10">
      <c r="A211" s="66" t="s">
        <v>90</v>
      </c>
      <c r="B211" s="39" t="s">
        <v>58</v>
      </c>
      <c r="C211" s="52">
        <f>C193</f>
        <v>6</v>
      </c>
      <c r="D211" s="10">
        <f>E210</f>
        <v>3528.2797407750004</v>
      </c>
      <c r="E211" s="58">
        <f>C211*D211</f>
        <v>21169.678444650002</v>
      </c>
      <c r="F211" s="90"/>
      <c r="I211" s="91"/>
      <c r="J211" s="91"/>
    </row>
    <row r="212" spans="1:10">
      <c r="C212" s="100"/>
      <c r="D212" s="61" t="s">
        <v>43</v>
      </c>
      <c r="E212" s="62">
        <v>1.1000000000000001</v>
      </c>
      <c r="F212" s="88">
        <f>E211*E212</f>
        <v>23286.646289115004</v>
      </c>
      <c r="I212" s="91"/>
      <c r="J212" s="91"/>
    </row>
    <row r="213" spans="1:10">
      <c r="C213" s="100"/>
      <c r="D213" s="61"/>
      <c r="E213" s="227"/>
      <c r="F213" s="228"/>
      <c r="I213" s="91"/>
      <c r="J213" s="91"/>
    </row>
    <row r="214" spans="1:10" hidden="1">
      <c r="A214" s="233" t="s">
        <v>302</v>
      </c>
      <c r="B214" s="234" t="s">
        <v>4</v>
      </c>
      <c r="C214" s="234">
        <v>0</v>
      </c>
      <c r="D214" s="235"/>
      <c r="E214" s="236"/>
      <c r="F214" s="237">
        <f>C214*F212</f>
        <v>0</v>
      </c>
      <c r="I214" s="91"/>
      <c r="J214" s="91"/>
    </row>
    <row r="215" spans="1:10" ht="11.25" hidden="1" customHeight="1">
      <c r="I215" s="91"/>
      <c r="J215" s="91"/>
    </row>
    <row r="216" spans="1:10">
      <c r="A216" s="3" t="s">
        <v>102</v>
      </c>
      <c r="I216" s="91"/>
      <c r="J216" s="91"/>
    </row>
    <row r="217" spans="1:10">
      <c r="A217" s="45" t="s">
        <v>22</v>
      </c>
      <c r="B217" s="45" t="s">
        <v>23</v>
      </c>
      <c r="C217" s="45" t="s">
        <v>15</v>
      </c>
      <c r="D217" s="46" t="s">
        <v>24</v>
      </c>
      <c r="E217" s="46" t="s">
        <v>25</v>
      </c>
      <c r="F217" s="46" t="s">
        <v>26</v>
      </c>
      <c r="I217" s="91"/>
      <c r="J217" s="91"/>
    </row>
    <row r="218" spans="1:10">
      <c r="A218" s="47" t="s">
        <v>103</v>
      </c>
      <c r="B218" s="48" t="s">
        <v>58</v>
      </c>
      <c r="C218" s="50">
        <f>C193</f>
        <v>6</v>
      </c>
      <c r="D218" s="50">
        <f>0.01*($E$182)</f>
        <v>5870.978000000001</v>
      </c>
      <c r="E218" s="50">
        <f>C218*D218</f>
        <v>35225.868000000002</v>
      </c>
      <c r="I218" s="91"/>
      <c r="J218" s="91"/>
    </row>
    <row r="219" spans="1:10">
      <c r="A219" s="51" t="s">
        <v>104</v>
      </c>
      <c r="B219" s="52" t="s">
        <v>58</v>
      </c>
      <c r="C219" s="50">
        <f>C218</f>
        <v>6</v>
      </c>
      <c r="D219" s="76">
        <v>191.2</v>
      </c>
      <c r="E219" s="54">
        <f>C219*D219</f>
        <v>1147.1999999999998</v>
      </c>
      <c r="I219" s="91"/>
      <c r="J219" s="91"/>
    </row>
    <row r="220" spans="1:10">
      <c r="A220" s="51" t="s">
        <v>105</v>
      </c>
      <c r="B220" s="52" t="s">
        <v>58</v>
      </c>
      <c r="C220" s="50">
        <f>C219</f>
        <v>6</v>
      </c>
      <c r="D220" s="76">
        <v>3975.07</v>
      </c>
      <c r="E220" s="54">
        <f>C220*D220</f>
        <v>23850.420000000002</v>
      </c>
      <c r="F220" s="57"/>
      <c r="I220" s="91"/>
      <c r="J220" s="91"/>
    </row>
    <row r="221" spans="1:10">
      <c r="A221" s="66" t="s">
        <v>106</v>
      </c>
      <c r="B221" s="39" t="s">
        <v>28</v>
      </c>
      <c r="C221" s="39">
        <v>12</v>
      </c>
      <c r="D221" s="10">
        <f>SUM(E218:E220)</f>
        <v>60223.487999999998</v>
      </c>
      <c r="E221" s="10">
        <f>D221/C221</f>
        <v>5018.6239999999998</v>
      </c>
      <c r="I221" s="91"/>
      <c r="J221" s="91"/>
    </row>
    <row r="222" spans="1:10">
      <c r="D222" s="61" t="s">
        <v>43</v>
      </c>
      <c r="E222" s="62">
        <v>1</v>
      </c>
      <c r="F222" s="63">
        <f>E221*E222</f>
        <v>5018.6239999999998</v>
      </c>
      <c r="I222" s="91"/>
      <c r="J222" s="91"/>
    </row>
    <row r="223" spans="1:10" ht="6.75" customHeight="1">
      <c r="I223" s="91"/>
      <c r="J223" s="91"/>
    </row>
    <row r="224" spans="1:10">
      <c r="A224" s="3" t="s">
        <v>107</v>
      </c>
      <c r="B224" s="101"/>
      <c r="I224" s="91"/>
      <c r="J224" s="91"/>
    </row>
    <row r="225" spans="1:10" ht="5.25" customHeight="1">
      <c r="B225" s="101"/>
      <c r="I225" s="91"/>
      <c r="J225" s="91"/>
    </row>
    <row r="226" spans="1:10">
      <c r="A226" s="66" t="s">
        <v>108</v>
      </c>
      <c r="B226" s="102">
        <v>14040</v>
      </c>
      <c r="I226" s="91"/>
      <c r="J226" s="91"/>
    </row>
    <row r="227" spans="1:10" ht="9" customHeight="1">
      <c r="B227" s="101"/>
      <c r="I227" s="91"/>
      <c r="J227" s="91"/>
    </row>
    <row r="228" spans="1:10">
      <c r="A228" s="45" t="s">
        <v>22</v>
      </c>
      <c r="B228" s="45" t="s">
        <v>23</v>
      </c>
      <c r="C228" s="45" t="s">
        <v>109</v>
      </c>
      <c r="D228" s="46" t="s">
        <v>24</v>
      </c>
      <c r="E228" s="46" t="s">
        <v>25</v>
      </c>
      <c r="F228" s="46" t="s">
        <v>26</v>
      </c>
      <c r="I228" s="91"/>
      <c r="J228" s="91"/>
    </row>
    <row r="229" spans="1:10">
      <c r="A229" s="47" t="s">
        <v>110</v>
      </c>
      <c r="B229" s="48" t="s">
        <v>111</v>
      </c>
      <c r="C229" s="103">
        <v>2</v>
      </c>
      <c r="D229" s="104">
        <v>6.97</v>
      </c>
      <c r="E229" s="50"/>
      <c r="I229" s="91"/>
      <c r="J229" s="91"/>
    </row>
    <row r="230" spans="1:10">
      <c r="A230" s="51" t="s">
        <v>112</v>
      </c>
      <c r="B230" s="52" t="s">
        <v>113</v>
      </c>
      <c r="C230" s="70">
        <f>B226</f>
        <v>14040</v>
      </c>
      <c r="D230" s="105">
        <f>IFERROR(+D229/C229,"-")</f>
        <v>3.4849999999999999</v>
      </c>
      <c r="E230" s="54">
        <f>IFERROR(C230*D230,"-")</f>
        <v>48929.4</v>
      </c>
      <c r="I230" s="91"/>
      <c r="J230" s="91"/>
    </row>
    <row r="231" spans="1:10">
      <c r="A231" s="51" t="s">
        <v>114</v>
      </c>
      <c r="B231" s="52" t="s">
        <v>115</v>
      </c>
      <c r="C231" s="106">
        <v>7.12</v>
      </c>
      <c r="D231" s="76">
        <v>33.99</v>
      </c>
      <c r="E231" s="54"/>
      <c r="I231" s="91"/>
      <c r="J231" s="91"/>
    </row>
    <row r="232" spans="1:10">
      <c r="A232" s="51" t="s">
        <v>116</v>
      </c>
      <c r="B232" s="52" t="s">
        <v>113</v>
      </c>
      <c r="C232" s="70">
        <f>C230</f>
        <v>14040</v>
      </c>
      <c r="D232" s="107">
        <f>+C231*D231/1000</f>
        <v>0.2420088</v>
      </c>
      <c r="E232" s="54">
        <f>C232*D232</f>
        <v>3397.8035519999999</v>
      </c>
      <c r="I232" s="91"/>
      <c r="J232" s="91"/>
    </row>
    <row r="233" spans="1:10">
      <c r="A233" s="51" t="s">
        <v>117</v>
      </c>
      <c r="B233" s="52" t="s">
        <v>115</v>
      </c>
      <c r="C233" s="106">
        <v>0.3</v>
      </c>
      <c r="D233" s="76">
        <v>33.5</v>
      </c>
      <c r="E233" s="54"/>
      <c r="I233" s="91"/>
      <c r="J233" s="91"/>
    </row>
    <row r="234" spans="1:10">
      <c r="A234" s="51" t="s">
        <v>118</v>
      </c>
      <c r="B234" s="52" t="s">
        <v>113</v>
      </c>
      <c r="C234" s="70">
        <f>C230</f>
        <v>14040</v>
      </c>
      <c r="D234" s="107">
        <f>+C233*D233/1000</f>
        <v>1.0049999999999998E-2</v>
      </c>
      <c r="E234" s="54">
        <f>C234*D234</f>
        <v>141.10199999999998</v>
      </c>
      <c r="I234" s="91"/>
      <c r="J234" s="91"/>
    </row>
    <row r="235" spans="1:10">
      <c r="A235" s="51" t="s">
        <v>119</v>
      </c>
      <c r="B235" s="52" t="s">
        <v>115</v>
      </c>
      <c r="C235" s="106">
        <v>7.12</v>
      </c>
      <c r="D235" s="76">
        <v>27</v>
      </c>
      <c r="E235" s="54"/>
      <c r="I235" s="91"/>
      <c r="J235" s="91"/>
    </row>
    <row r="236" spans="1:10">
      <c r="A236" s="51" t="s">
        <v>120</v>
      </c>
      <c r="B236" s="52" t="s">
        <v>113</v>
      </c>
      <c r="C236" s="70">
        <f>C230</f>
        <v>14040</v>
      </c>
      <c r="D236" s="107">
        <f>+C235*D235/1000</f>
        <v>0.19224000000000002</v>
      </c>
      <c r="E236" s="54">
        <f>C236*D236</f>
        <v>2699.0496000000003</v>
      </c>
      <c r="I236" s="91"/>
      <c r="J236" s="91"/>
    </row>
    <row r="237" spans="1:10">
      <c r="A237" s="51" t="s">
        <v>121</v>
      </c>
      <c r="B237" s="52" t="s">
        <v>122</v>
      </c>
      <c r="C237" s="106">
        <v>2</v>
      </c>
      <c r="D237" s="76">
        <v>34.31</v>
      </c>
      <c r="E237" s="54"/>
      <c r="I237" s="91"/>
      <c r="J237" s="91"/>
    </row>
    <row r="238" spans="1:10">
      <c r="A238" s="51" t="s">
        <v>123</v>
      </c>
      <c r="B238" s="52" t="s">
        <v>113</v>
      </c>
      <c r="C238" s="70">
        <f>C230</f>
        <v>14040</v>
      </c>
      <c r="D238" s="107">
        <f>+C237*D237/1000</f>
        <v>6.862E-2</v>
      </c>
      <c r="E238" s="54">
        <f>C238*D238</f>
        <v>963.4248</v>
      </c>
      <c r="I238" s="91"/>
      <c r="J238" s="91"/>
    </row>
    <row r="239" spans="1:10">
      <c r="A239" s="66" t="s">
        <v>124</v>
      </c>
      <c r="B239" s="39" t="s">
        <v>125</v>
      </c>
      <c r="C239" s="108"/>
      <c r="D239" s="109">
        <f>IFERROR(D230+D232+D234+D236+D238,0)</f>
        <v>3.9979187999999999</v>
      </c>
      <c r="E239" s="54"/>
      <c r="I239" s="91"/>
      <c r="J239" s="91"/>
    </row>
    <row r="240" spans="1:10">
      <c r="F240" s="88">
        <f>SUM(E229:E238)</f>
        <v>56130.779951999997</v>
      </c>
      <c r="I240" s="91"/>
      <c r="J240" s="91"/>
    </row>
    <row r="241" spans="1:10" ht="6.75" customHeight="1">
      <c r="I241" s="91"/>
      <c r="J241" s="91"/>
    </row>
    <row r="242" spans="1:10">
      <c r="A242" s="3" t="s">
        <v>126</v>
      </c>
      <c r="I242" s="91"/>
      <c r="J242" s="91"/>
    </row>
    <row r="243" spans="1:10">
      <c r="A243" s="45" t="s">
        <v>22</v>
      </c>
      <c r="B243" s="45" t="s">
        <v>23</v>
      </c>
      <c r="C243" s="45" t="s">
        <v>15</v>
      </c>
      <c r="D243" s="46" t="s">
        <v>24</v>
      </c>
      <c r="E243" s="46" t="s">
        <v>25</v>
      </c>
      <c r="F243" s="46" t="s">
        <v>26</v>
      </c>
      <c r="I243" s="91"/>
      <c r="J243" s="91"/>
    </row>
    <row r="244" spans="1:10">
      <c r="A244" s="47" t="s">
        <v>127</v>
      </c>
      <c r="B244" s="48" t="s">
        <v>125</v>
      </c>
      <c r="C244" s="70">
        <f>C230</f>
        <v>14040</v>
      </c>
      <c r="D244" s="49">
        <v>1.33</v>
      </c>
      <c r="E244" s="50">
        <f>C244*D244</f>
        <v>18673.2</v>
      </c>
      <c r="I244" s="91"/>
      <c r="J244" s="91"/>
    </row>
    <row r="245" spans="1:10">
      <c r="F245" s="88">
        <f>E244</f>
        <v>18673.2</v>
      </c>
      <c r="I245" s="91"/>
      <c r="J245" s="91"/>
    </row>
    <row r="246" spans="1:10" ht="11.25" customHeight="1">
      <c r="I246" s="91"/>
      <c r="J246" s="91"/>
    </row>
    <row r="247" spans="1:10">
      <c r="A247" s="3" t="s">
        <v>128</v>
      </c>
      <c r="I247" s="91"/>
      <c r="J247" s="91"/>
    </row>
    <row r="248" spans="1:10">
      <c r="A248" s="45" t="s">
        <v>22</v>
      </c>
      <c r="B248" s="45" t="s">
        <v>23</v>
      </c>
      <c r="C248" s="45" t="s">
        <v>15</v>
      </c>
      <c r="D248" s="46" t="s">
        <v>24</v>
      </c>
      <c r="E248" s="46" t="s">
        <v>25</v>
      </c>
      <c r="F248" s="46" t="s">
        <v>26</v>
      </c>
      <c r="I248" s="91"/>
      <c r="J248" s="91"/>
    </row>
    <row r="249" spans="1:10">
      <c r="A249" s="47" t="s">
        <v>129</v>
      </c>
      <c r="B249" s="48" t="s">
        <v>58</v>
      </c>
      <c r="C249" s="110">
        <v>6</v>
      </c>
      <c r="D249" s="49">
        <v>2647.58</v>
      </c>
      <c r="E249" s="50">
        <f>C249*D249</f>
        <v>15885.48</v>
      </c>
      <c r="I249" s="91"/>
      <c r="J249" s="91"/>
    </row>
    <row r="250" spans="1:10">
      <c r="A250" s="47" t="s">
        <v>130</v>
      </c>
      <c r="B250" s="48" t="s">
        <v>58</v>
      </c>
      <c r="C250" s="110">
        <v>3</v>
      </c>
      <c r="D250" s="50"/>
      <c r="E250" s="50"/>
      <c r="I250" s="91"/>
      <c r="J250" s="91"/>
    </row>
    <row r="251" spans="1:10">
      <c r="A251" s="47" t="s">
        <v>131</v>
      </c>
      <c r="B251" s="48" t="s">
        <v>58</v>
      </c>
      <c r="C251" s="50">
        <f>C249*C250</f>
        <v>18</v>
      </c>
      <c r="D251" s="49">
        <v>641.03</v>
      </c>
      <c r="E251" s="50">
        <f>C251*D251</f>
        <v>11538.539999999999</v>
      </c>
      <c r="I251" s="91"/>
      <c r="J251" s="91"/>
    </row>
    <row r="252" spans="1:10">
      <c r="A252" s="51" t="s">
        <v>132</v>
      </c>
      <c r="B252" s="52" t="s">
        <v>133</v>
      </c>
      <c r="C252" s="111">
        <v>85000</v>
      </c>
      <c r="D252" s="54">
        <f>E249+E251</f>
        <v>27424.019999999997</v>
      </c>
      <c r="E252" s="54">
        <f>IFERROR(D252/C252,"-")</f>
        <v>0.32263552941176465</v>
      </c>
      <c r="I252" s="91"/>
      <c r="J252" s="91"/>
    </row>
    <row r="253" spans="1:10">
      <c r="A253" s="51" t="s">
        <v>134</v>
      </c>
      <c r="B253" s="52" t="s">
        <v>113</v>
      </c>
      <c r="C253" s="70">
        <f>B226</f>
        <v>14040</v>
      </c>
      <c r="D253" s="54">
        <f>E252</f>
        <v>0.32263552941176465</v>
      </c>
      <c r="E253" s="54">
        <f>IFERROR(C253*D253,0)</f>
        <v>4529.8028329411754</v>
      </c>
      <c r="I253" s="91"/>
      <c r="J253" s="91"/>
    </row>
    <row r="254" spans="1:10">
      <c r="F254" s="88">
        <f>E253</f>
        <v>4529.8028329411754</v>
      </c>
      <c r="I254" s="91"/>
      <c r="J254" s="91"/>
    </row>
    <row r="255" spans="1:10" ht="7.5" customHeight="1">
      <c r="I255" s="91"/>
      <c r="J255" s="91"/>
    </row>
    <row r="256" spans="1:10" ht="11.25" customHeight="1">
      <c r="A256" s="224" t="s">
        <v>5</v>
      </c>
      <c r="B256" s="3" t="s">
        <v>379</v>
      </c>
      <c r="I256" s="91"/>
      <c r="J256" s="91"/>
    </row>
    <row r="257" spans="1:10" ht="11.25" customHeight="1">
      <c r="A257" s="15"/>
      <c r="I257" s="91"/>
      <c r="J257" s="91"/>
    </row>
    <row r="258" spans="1:10" ht="11.25" customHeight="1">
      <c r="A258" s="112" t="s">
        <v>6</v>
      </c>
      <c r="I258" s="91"/>
      <c r="J258" s="91"/>
    </row>
    <row r="259" spans="1:10" ht="11.25" customHeight="1">
      <c r="A259" s="45" t="s">
        <v>22</v>
      </c>
      <c r="B259" s="45" t="s">
        <v>23</v>
      </c>
      <c r="C259" s="45" t="s">
        <v>15</v>
      </c>
      <c r="D259" s="46" t="s">
        <v>24</v>
      </c>
      <c r="E259" s="46" t="s">
        <v>25</v>
      </c>
      <c r="F259" s="46" t="s">
        <v>26</v>
      </c>
      <c r="I259" s="91"/>
      <c r="J259" s="91"/>
    </row>
    <row r="260" spans="1:10" ht="11.25" customHeight="1">
      <c r="A260" s="47" t="s">
        <v>78</v>
      </c>
      <c r="B260" s="48" t="s">
        <v>58</v>
      </c>
      <c r="C260" s="48">
        <v>1</v>
      </c>
      <c r="D260" s="49">
        <v>109676</v>
      </c>
      <c r="E260" s="50">
        <f>C260*D260</f>
        <v>109676</v>
      </c>
      <c r="I260" s="91"/>
      <c r="J260" s="91"/>
    </row>
    <row r="261" spans="1:10" ht="11.25" customHeight="1">
      <c r="A261" s="51" t="s">
        <v>79</v>
      </c>
      <c r="B261" s="52" t="s">
        <v>80</v>
      </c>
      <c r="C261" s="60">
        <v>10</v>
      </c>
      <c r="D261" s="54"/>
      <c r="E261" s="54"/>
      <c r="I261" s="91"/>
      <c r="J261" s="91"/>
    </row>
    <row r="262" spans="1:10" ht="11.25" customHeight="1">
      <c r="A262" s="51" t="s">
        <v>81</v>
      </c>
      <c r="B262" s="52" t="s">
        <v>80</v>
      </c>
      <c r="C262" s="60">
        <v>0</v>
      </c>
      <c r="D262" s="54"/>
      <c r="E262" s="54"/>
      <c r="F262" s="90"/>
      <c r="I262" s="91"/>
      <c r="J262" s="91"/>
    </row>
    <row r="263" spans="1:10" ht="11.25" customHeight="1">
      <c r="A263" s="51" t="s">
        <v>82</v>
      </c>
      <c r="B263" s="52" t="s">
        <v>4</v>
      </c>
      <c r="C263" s="59">
        <v>65.180000000000007</v>
      </c>
      <c r="D263" s="54">
        <f>E260</f>
        <v>109676</v>
      </c>
      <c r="E263" s="54">
        <f>C263*D263/100</f>
        <v>71486.816800000001</v>
      </c>
      <c r="I263" s="91"/>
      <c r="J263" s="91"/>
    </row>
    <row r="264" spans="1:10" ht="11.25" customHeight="1" thickBot="1">
      <c r="A264" s="92" t="s">
        <v>83</v>
      </c>
      <c r="B264" s="93" t="s">
        <v>28</v>
      </c>
      <c r="C264" s="93">
        <f>C261*12</f>
        <v>120</v>
      </c>
      <c r="D264" s="94">
        <f>IF(C262&lt;=C261,E263,0)</f>
        <v>71486.816800000001</v>
      </c>
      <c r="E264" s="94">
        <f>IFERROR(D264/C264,0)</f>
        <v>595.72347333333335</v>
      </c>
      <c r="I264" s="91"/>
      <c r="J264" s="91"/>
    </row>
    <row r="265" spans="1:10" ht="11.25" customHeight="1" thickTop="1">
      <c r="A265" s="55" t="s">
        <v>89</v>
      </c>
      <c r="B265" s="56"/>
      <c r="C265" s="56"/>
      <c r="D265" s="57"/>
      <c r="E265" s="58">
        <f>E264</f>
        <v>595.72347333333335</v>
      </c>
      <c r="I265" s="91"/>
      <c r="J265" s="91"/>
    </row>
    <row r="266" spans="1:10" ht="11.25" customHeight="1">
      <c r="A266" s="66" t="s">
        <v>90</v>
      </c>
      <c r="B266" s="39" t="s">
        <v>58</v>
      </c>
      <c r="C266" s="60">
        <v>1</v>
      </c>
      <c r="D266" s="10">
        <f>E265</f>
        <v>595.72347333333335</v>
      </c>
      <c r="E266" s="58">
        <f>C266*D266</f>
        <v>595.72347333333335</v>
      </c>
      <c r="G266" s="3"/>
    </row>
    <row r="267" spans="1:10" ht="11.25" customHeight="1">
      <c r="A267" s="95"/>
      <c r="B267" s="95"/>
      <c r="C267" s="95"/>
      <c r="D267" s="61" t="s">
        <v>43</v>
      </c>
      <c r="E267" s="62">
        <v>1</v>
      </c>
      <c r="F267" s="88">
        <f>E266*E267</f>
        <v>595.72347333333335</v>
      </c>
      <c r="G267" s="3"/>
    </row>
    <row r="268" spans="1:10" ht="11.25" customHeight="1">
      <c r="G268" s="3"/>
    </row>
    <row r="269" spans="1:10" ht="11.25" customHeight="1">
      <c r="A269" s="3" t="s">
        <v>7</v>
      </c>
      <c r="G269" s="3"/>
    </row>
    <row r="270" spans="1:10" ht="11.25" customHeight="1">
      <c r="A270" s="97" t="s">
        <v>22</v>
      </c>
      <c r="B270" s="97" t="s">
        <v>23</v>
      </c>
      <c r="C270" s="97" t="s">
        <v>15</v>
      </c>
      <c r="D270" s="46" t="s">
        <v>24</v>
      </c>
      <c r="E270" s="98" t="s">
        <v>25</v>
      </c>
      <c r="F270" s="46" t="s">
        <v>26</v>
      </c>
      <c r="G270" s="3"/>
    </row>
    <row r="271" spans="1:10" ht="11.25" customHeight="1">
      <c r="A271" s="51" t="s">
        <v>93</v>
      </c>
      <c r="B271" s="52" t="s">
        <v>58</v>
      </c>
      <c r="C271" s="48">
        <v>1</v>
      </c>
      <c r="D271" s="54">
        <f>D260</f>
        <v>109676</v>
      </c>
      <c r="E271" s="54">
        <f>C271*D271</f>
        <v>109676</v>
      </c>
      <c r="F271" s="90"/>
      <c r="G271" s="3"/>
    </row>
    <row r="272" spans="1:10" ht="11.25" customHeight="1">
      <c r="A272" s="51" t="s">
        <v>94</v>
      </c>
      <c r="B272" s="52" t="s">
        <v>4</v>
      </c>
      <c r="C272" s="53">
        <v>14.25</v>
      </c>
      <c r="D272" s="54"/>
      <c r="E272" s="54"/>
      <c r="F272" s="90"/>
      <c r="G272" s="3"/>
    </row>
    <row r="273" spans="1:9" ht="11.25" customHeight="1">
      <c r="A273" s="51" t="s">
        <v>95</v>
      </c>
      <c r="B273" s="52" t="s">
        <v>35</v>
      </c>
      <c r="C273" s="99">
        <f>IFERROR(IF(C262&lt;=C261,E260-(C263/(100*C261)*C262)*E260,E260-E263),0)</f>
        <v>109676</v>
      </c>
      <c r="D273" s="54"/>
      <c r="E273" s="54"/>
      <c r="F273" s="90"/>
      <c r="G273" s="3"/>
    </row>
    <row r="274" spans="1:9" ht="11.25" customHeight="1">
      <c r="A274" s="51" t="s">
        <v>96</v>
      </c>
      <c r="B274" s="52" t="s">
        <v>35</v>
      </c>
      <c r="C274" s="54">
        <f>IFERROR(IF(C262&gt;=C261,C273,((((C273)-(E260-E263))*(((C261-C262)+1)/(2*(C261-C262))))+(E260-E263))),0)</f>
        <v>77506.932440000004</v>
      </c>
      <c r="D274" s="54"/>
      <c r="E274" s="54"/>
      <c r="F274" s="90"/>
      <c r="G274" s="3"/>
    </row>
    <row r="275" spans="1:9" ht="11.25" customHeight="1" thickBot="1">
      <c r="A275" s="92" t="s">
        <v>97</v>
      </c>
      <c r="B275" s="93" t="s">
        <v>35</v>
      </c>
      <c r="C275" s="93"/>
      <c r="D275" s="94">
        <f>C272*C274/12/100</f>
        <v>920.39482272499993</v>
      </c>
      <c r="E275" s="94">
        <f>D275</f>
        <v>920.39482272499993</v>
      </c>
      <c r="F275" s="90"/>
      <c r="G275" s="3"/>
    </row>
    <row r="276" spans="1:9" ht="11.25" customHeight="1" thickTop="1">
      <c r="A276" s="55" t="s">
        <v>89</v>
      </c>
      <c r="B276" s="56"/>
      <c r="C276" s="56">
        <v>1</v>
      </c>
      <c r="D276" s="57">
        <v>77520</v>
      </c>
      <c r="E276" s="58">
        <f>E275</f>
        <v>920.39482272499993</v>
      </c>
      <c r="F276" s="259"/>
      <c r="G276" s="3"/>
    </row>
    <row r="277" spans="1:9" ht="11.25" customHeight="1">
      <c r="A277" s="66" t="s">
        <v>90</v>
      </c>
      <c r="B277" s="39" t="s">
        <v>58</v>
      </c>
      <c r="C277" s="52">
        <v>1</v>
      </c>
      <c r="D277" s="10">
        <f>E276</f>
        <v>920.39482272499993</v>
      </c>
      <c r="E277" s="58">
        <f>C277*D277</f>
        <v>920.39482272499993</v>
      </c>
      <c r="F277" s="90"/>
      <c r="G277" s="3"/>
    </row>
    <row r="278" spans="1:9" ht="11.25" customHeight="1">
      <c r="C278" s="100"/>
      <c r="D278" s="61" t="s">
        <v>43</v>
      </c>
      <c r="E278" s="62">
        <f>$B$50</f>
        <v>1</v>
      </c>
      <c r="F278" s="88">
        <f>E277*E278</f>
        <v>920.39482272499993</v>
      </c>
      <c r="G278" s="3"/>
    </row>
    <row r="279" spans="1:9" ht="11.25" customHeight="1">
      <c r="G279" s="3"/>
    </row>
    <row r="280" spans="1:9" ht="11.25" customHeight="1">
      <c r="A280" s="3" t="s">
        <v>8</v>
      </c>
      <c r="G280" s="3"/>
    </row>
    <row r="281" spans="1:9" ht="11.25" customHeight="1">
      <c r="A281" s="45" t="s">
        <v>22</v>
      </c>
      <c r="B281" s="45" t="s">
        <v>23</v>
      </c>
      <c r="C281" s="45" t="s">
        <v>15</v>
      </c>
      <c r="D281" s="46" t="s">
        <v>24</v>
      </c>
      <c r="E281" s="46" t="s">
        <v>25</v>
      </c>
      <c r="F281" s="46" t="s">
        <v>26</v>
      </c>
      <c r="G281" s="3"/>
    </row>
    <row r="282" spans="1:9" ht="11.25" customHeight="1">
      <c r="A282" s="47" t="s">
        <v>103</v>
      </c>
      <c r="B282" s="48" t="s">
        <v>58</v>
      </c>
      <c r="C282" s="50">
        <v>1</v>
      </c>
      <c r="D282" s="50">
        <f>0.03*($E$260)</f>
        <v>3290.2799999999997</v>
      </c>
      <c r="E282" s="50">
        <f>C282*D282</f>
        <v>3290.2799999999997</v>
      </c>
      <c r="G282" s="3"/>
    </row>
    <row r="283" spans="1:9" ht="11.25" customHeight="1">
      <c r="A283" s="51" t="s">
        <v>104</v>
      </c>
      <c r="B283" s="52" t="s">
        <v>58</v>
      </c>
      <c r="C283" s="50">
        <v>0</v>
      </c>
      <c r="D283" s="76">
        <v>191.2</v>
      </c>
      <c r="E283" s="54">
        <f>C283*D283</f>
        <v>0</v>
      </c>
      <c r="G283" s="3"/>
    </row>
    <row r="284" spans="1:9" ht="11.25" customHeight="1">
      <c r="A284" s="51" t="s">
        <v>105</v>
      </c>
      <c r="B284" s="52" t="s">
        <v>58</v>
      </c>
      <c r="C284" s="50">
        <v>0</v>
      </c>
      <c r="D284" s="76">
        <v>2200</v>
      </c>
      <c r="E284" s="54">
        <f>C284*D284</f>
        <v>0</v>
      </c>
      <c r="F284" s="57"/>
      <c r="G284" s="3"/>
      <c r="I284" s="197"/>
    </row>
    <row r="285" spans="1:9" ht="11.25" customHeight="1">
      <c r="A285" s="66" t="s">
        <v>106</v>
      </c>
      <c r="B285" s="39" t="s">
        <v>28</v>
      </c>
      <c r="C285" s="39">
        <v>12</v>
      </c>
      <c r="D285" s="10">
        <f>SUM(D282:D284)</f>
        <v>5681.48</v>
      </c>
      <c r="E285" s="10">
        <f>D285/C285</f>
        <v>473.45666666666665</v>
      </c>
      <c r="G285" s="3"/>
    </row>
    <row r="286" spans="1:9" ht="11.25" customHeight="1">
      <c r="D286" s="61" t="s">
        <v>43</v>
      </c>
      <c r="E286" s="62">
        <f>$B$50</f>
        <v>1</v>
      </c>
      <c r="F286" s="63">
        <f>E285*E286</f>
        <v>473.45666666666665</v>
      </c>
      <c r="G286" s="3"/>
    </row>
    <row r="287" spans="1:9" ht="11.25" customHeight="1">
      <c r="G287" s="3"/>
    </row>
    <row r="288" spans="1:9" ht="11.25" customHeight="1">
      <c r="A288" s="3" t="s">
        <v>9</v>
      </c>
      <c r="B288" s="101"/>
      <c r="G288" s="3"/>
    </row>
    <row r="289" spans="1:10" ht="11.25" customHeight="1">
      <c r="A289" s="66" t="s">
        <v>108</v>
      </c>
      <c r="B289" s="102">
        <v>2500</v>
      </c>
      <c r="G289" s="3"/>
    </row>
    <row r="290" spans="1:10" ht="11.25" customHeight="1">
      <c r="B290" s="101"/>
      <c r="G290" s="3"/>
    </row>
    <row r="291" spans="1:10" ht="11.25" customHeight="1">
      <c r="A291" s="45" t="s">
        <v>22</v>
      </c>
      <c r="B291" s="45" t="s">
        <v>23</v>
      </c>
      <c r="C291" s="45" t="s">
        <v>109</v>
      </c>
      <c r="D291" s="46" t="s">
        <v>24</v>
      </c>
      <c r="E291" s="46" t="s">
        <v>25</v>
      </c>
      <c r="F291" s="46" t="s">
        <v>26</v>
      </c>
      <c r="G291" s="3"/>
    </row>
    <row r="292" spans="1:10" ht="11.25" customHeight="1">
      <c r="A292" s="47" t="s">
        <v>135</v>
      </c>
      <c r="B292" s="48" t="s">
        <v>111</v>
      </c>
      <c r="C292" s="103">
        <v>9</v>
      </c>
      <c r="D292" s="104">
        <v>6.5</v>
      </c>
      <c r="E292" s="50"/>
      <c r="G292" s="3"/>
    </row>
    <row r="293" spans="1:10" ht="11.25" customHeight="1">
      <c r="A293" s="51" t="s">
        <v>136</v>
      </c>
      <c r="B293" s="52" t="s">
        <v>113</v>
      </c>
      <c r="C293" s="70">
        <f>B289</f>
        <v>2500</v>
      </c>
      <c r="D293" s="105">
        <f>IFERROR(+D292/C292,"-")</f>
        <v>0.72222222222222221</v>
      </c>
      <c r="E293" s="54">
        <f>IFERROR(C293*D293,"-")</f>
        <v>1805.5555555555554</v>
      </c>
      <c r="G293" s="3"/>
    </row>
    <row r="294" spans="1:10" ht="11.25" customHeight="1">
      <c r="A294" s="51" t="s">
        <v>114</v>
      </c>
      <c r="B294" s="52" t="s">
        <v>115</v>
      </c>
      <c r="C294" s="106">
        <v>0.4</v>
      </c>
      <c r="D294" s="76">
        <v>43.5</v>
      </c>
      <c r="E294" s="54"/>
      <c r="G294" s="3"/>
    </row>
    <row r="295" spans="1:10" ht="11.25" customHeight="1">
      <c r="A295" s="51" t="s">
        <v>116</v>
      </c>
      <c r="B295" s="52" t="s">
        <v>113</v>
      </c>
      <c r="C295" s="70">
        <f>C293</f>
        <v>2500</v>
      </c>
      <c r="D295" s="107">
        <f>+C294*D294/1000</f>
        <v>1.7400000000000002E-2</v>
      </c>
      <c r="E295" s="54">
        <f>C295*D295</f>
        <v>43.500000000000007</v>
      </c>
      <c r="G295" s="3"/>
    </row>
    <row r="296" spans="1:10" ht="11.25" customHeight="1">
      <c r="A296" s="66" t="s">
        <v>124</v>
      </c>
      <c r="B296" s="39" t="s">
        <v>125</v>
      </c>
      <c r="C296" s="108">
        <v>1</v>
      </c>
      <c r="D296" s="109">
        <v>86</v>
      </c>
      <c r="E296" s="54">
        <f>((C296*D296)/12)</f>
        <v>7.166666666666667</v>
      </c>
      <c r="G296" s="3"/>
    </row>
    <row r="297" spans="1:10" ht="11.25" customHeight="1">
      <c r="F297" s="88">
        <f>SUM(E292:E295)</f>
        <v>1849.0555555555554</v>
      </c>
      <c r="G297" s="3"/>
    </row>
    <row r="298" spans="1:10" ht="11.25" customHeight="1">
      <c r="G298" s="3"/>
    </row>
    <row r="299" spans="1:10">
      <c r="A299" s="3" t="s">
        <v>10</v>
      </c>
      <c r="I299" s="91"/>
      <c r="J299" s="91"/>
    </row>
    <row r="300" spans="1:10">
      <c r="A300" s="45" t="s">
        <v>22</v>
      </c>
      <c r="B300" s="45" t="s">
        <v>23</v>
      </c>
      <c r="C300" s="45" t="s">
        <v>15</v>
      </c>
      <c r="D300" s="46" t="s">
        <v>24</v>
      </c>
      <c r="E300" s="46" t="s">
        <v>25</v>
      </c>
      <c r="F300" s="46" t="s">
        <v>26</v>
      </c>
      <c r="I300" s="91"/>
      <c r="J300" s="91"/>
    </row>
    <row r="301" spans="1:10">
      <c r="A301" s="47" t="s">
        <v>137</v>
      </c>
      <c r="B301" s="48" t="s">
        <v>125</v>
      </c>
      <c r="C301" s="70">
        <f>B289</f>
        <v>2500</v>
      </c>
      <c r="D301" s="49">
        <v>0.18</v>
      </c>
      <c r="E301" s="50">
        <f>C301*D301</f>
        <v>450</v>
      </c>
      <c r="I301" s="91"/>
      <c r="J301" s="91"/>
    </row>
    <row r="302" spans="1:10">
      <c r="F302" s="88">
        <f>E301</f>
        <v>450</v>
      </c>
      <c r="I302" s="91"/>
      <c r="J302" s="91"/>
    </row>
    <row r="303" spans="1:10" ht="11.25" customHeight="1">
      <c r="I303" s="91"/>
      <c r="J303" s="91"/>
    </row>
    <row r="304" spans="1:10">
      <c r="A304" s="3" t="s">
        <v>11</v>
      </c>
      <c r="I304" s="91"/>
      <c r="J304" s="91"/>
    </row>
    <row r="305" spans="1:10">
      <c r="A305" s="45" t="s">
        <v>22</v>
      </c>
      <c r="B305" s="45" t="s">
        <v>23</v>
      </c>
      <c r="C305" s="45" t="s">
        <v>15</v>
      </c>
      <c r="D305" s="46" t="s">
        <v>24</v>
      </c>
      <c r="E305" s="46" t="s">
        <v>25</v>
      </c>
      <c r="F305" s="46" t="s">
        <v>26</v>
      </c>
      <c r="I305" s="91"/>
      <c r="J305" s="91"/>
    </row>
    <row r="306" spans="1:10">
      <c r="A306" s="47" t="s">
        <v>138</v>
      </c>
      <c r="B306" s="48" t="s">
        <v>58</v>
      </c>
      <c r="C306" s="110">
        <v>4</v>
      </c>
      <c r="D306" s="49">
        <v>657.28</v>
      </c>
      <c r="E306" s="50">
        <f>C306*D306</f>
        <v>2629.12</v>
      </c>
      <c r="I306" s="91"/>
      <c r="J306" s="91"/>
    </row>
    <row r="307" spans="1:10">
      <c r="A307" s="113" t="s">
        <v>139</v>
      </c>
      <c r="B307" s="52" t="s">
        <v>133</v>
      </c>
      <c r="C307" s="111">
        <v>50000</v>
      </c>
      <c r="D307" s="54">
        <f>E306</f>
        <v>2629.12</v>
      </c>
      <c r="E307" s="54">
        <f>IFERROR(D307/C307,"-")</f>
        <v>5.2582399999999994E-2</v>
      </c>
      <c r="I307" s="91"/>
      <c r="J307" s="91"/>
    </row>
    <row r="308" spans="1:10">
      <c r="A308" s="51" t="s">
        <v>134</v>
      </c>
      <c r="B308" s="52" t="s">
        <v>113</v>
      </c>
      <c r="C308" s="70">
        <f>B289</f>
        <v>2500</v>
      </c>
      <c r="D308" s="54">
        <f>E307</f>
        <v>5.2582399999999994E-2</v>
      </c>
      <c r="E308" s="54">
        <f>IFERROR(C308*D308,0)</f>
        <v>131.45599999999999</v>
      </c>
      <c r="I308" s="91"/>
      <c r="J308" s="91"/>
    </row>
    <row r="309" spans="1:10">
      <c r="F309" s="88">
        <f>E308</f>
        <v>131.45599999999999</v>
      </c>
      <c r="I309" s="91"/>
      <c r="J309" s="91"/>
    </row>
    <row r="310" spans="1:10" ht="3.75" customHeight="1">
      <c r="G310" s="3"/>
    </row>
    <row r="311" spans="1:10" ht="6" customHeight="1">
      <c r="G311" s="3"/>
    </row>
    <row r="312" spans="1:10">
      <c r="A312" s="77" t="s">
        <v>140</v>
      </c>
      <c r="B312" s="78"/>
      <c r="C312" s="78"/>
      <c r="D312" s="8"/>
      <c r="E312" s="79"/>
      <c r="F312" s="88">
        <f>+SUM(F182:F309)</f>
        <v>142649.01242453678</v>
      </c>
      <c r="G312" s="313"/>
    </row>
    <row r="313" spans="1:10" ht="11.25" customHeight="1">
      <c r="G313" s="3"/>
    </row>
    <row r="314" spans="1:10">
      <c r="A314" s="15" t="s">
        <v>141</v>
      </c>
      <c r="B314" s="15"/>
      <c r="C314" s="15"/>
      <c r="D314" s="14"/>
      <c r="E314" s="14"/>
      <c r="F314" s="57"/>
      <c r="G314" s="3"/>
    </row>
    <row r="315" spans="1:10" ht="6" customHeight="1">
      <c r="G315" s="3"/>
    </row>
    <row r="316" spans="1:10">
      <c r="A316" s="45" t="s">
        <v>22</v>
      </c>
      <c r="B316" s="45" t="s">
        <v>23</v>
      </c>
      <c r="C316" s="45" t="s">
        <v>15</v>
      </c>
      <c r="D316" s="46" t="s">
        <v>24</v>
      </c>
      <c r="E316" s="46" t="s">
        <v>25</v>
      </c>
      <c r="F316" s="46" t="s">
        <v>26</v>
      </c>
      <c r="G316" s="3"/>
    </row>
    <row r="317" spans="1:10">
      <c r="A317" s="51" t="s">
        <v>142</v>
      </c>
      <c r="B317" s="52" t="s">
        <v>58</v>
      </c>
      <c r="C317" s="81">
        <v>8.3333333333333329E-2</v>
      </c>
      <c r="D317" s="49">
        <v>36.9</v>
      </c>
      <c r="E317" s="54">
        <f>C317*D317*6</f>
        <v>18.45</v>
      </c>
      <c r="F317" s="90"/>
      <c r="G317" s="3"/>
    </row>
    <row r="318" spans="1:10">
      <c r="A318" s="51" t="s">
        <v>143</v>
      </c>
      <c r="B318" s="52" t="s">
        <v>58</v>
      </c>
      <c r="C318" s="81">
        <v>8.3333333333333329E-2</v>
      </c>
      <c r="D318" s="49">
        <v>42.9</v>
      </c>
      <c r="E318" s="54">
        <f>C318*D318*6</f>
        <v>21.45</v>
      </c>
      <c r="F318" s="90"/>
      <c r="G318" s="3"/>
    </row>
    <row r="319" spans="1:10">
      <c r="A319" s="51" t="s">
        <v>144</v>
      </c>
      <c r="B319" s="52" t="s">
        <v>58</v>
      </c>
      <c r="C319" s="81">
        <v>0.16666666666666666</v>
      </c>
      <c r="D319" s="49">
        <v>52.76</v>
      </c>
      <c r="E319" s="54">
        <f>C319*D319*6</f>
        <v>52.76</v>
      </c>
      <c r="F319" s="90"/>
      <c r="G319" s="3"/>
    </row>
    <row r="320" spans="1:10">
      <c r="A320" s="51" t="s">
        <v>380</v>
      </c>
      <c r="B320" s="52" t="s">
        <v>58</v>
      </c>
      <c r="C320" s="81">
        <v>1.5</v>
      </c>
      <c r="D320" s="49">
        <v>27.46</v>
      </c>
      <c r="E320" s="54">
        <f>C320*D320</f>
        <v>41.19</v>
      </c>
      <c r="F320" s="90"/>
      <c r="G320" s="3"/>
    </row>
    <row r="321" spans="1:64">
      <c r="A321" s="51" t="s">
        <v>381</v>
      </c>
      <c r="B321" s="52" t="s">
        <v>145</v>
      </c>
      <c r="C321" s="81">
        <v>6</v>
      </c>
      <c r="D321" s="49">
        <v>306.56</v>
      </c>
      <c r="E321" s="54">
        <f>(C321*D321)/12</f>
        <v>153.28</v>
      </c>
      <c r="F321" s="90"/>
      <c r="G321" s="3"/>
    </row>
    <row r="322" spans="1:64">
      <c r="A322" s="15"/>
      <c r="B322" s="15"/>
      <c r="C322" s="15"/>
      <c r="D322" s="15"/>
      <c r="E322" s="14"/>
      <c r="F322" s="88">
        <f>SUM(E317:E321)</f>
        <v>287.13</v>
      </c>
      <c r="G322" s="3"/>
    </row>
    <row r="323" spans="1:64" ht="11.25" customHeight="1">
      <c r="G323" s="3"/>
    </row>
    <row r="324" spans="1:64">
      <c r="A324" s="77" t="s">
        <v>146</v>
      </c>
      <c r="B324" s="78"/>
      <c r="C324" s="78"/>
      <c r="D324" s="8"/>
      <c r="E324" s="79"/>
      <c r="F324" s="88">
        <f>+F322</f>
        <v>287.13</v>
      </c>
      <c r="G324" s="3"/>
    </row>
    <row r="325" spans="1:64" ht="11.25" customHeight="1">
      <c r="G325" s="3"/>
    </row>
    <row r="326" spans="1:64">
      <c r="A326" s="15" t="s">
        <v>147</v>
      </c>
      <c r="B326" s="15"/>
      <c r="C326" s="15"/>
      <c r="D326" s="14"/>
      <c r="E326" s="14"/>
      <c r="F326" s="57"/>
    </row>
    <row r="327" spans="1:64" ht="6" customHeight="1"/>
    <row r="328" spans="1:64">
      <c r="A328" s="45" t="s">
        <v>22</v>
      </c>
      <c r="B328" s="45" t="s">
        <v>23</v>
      </c>
      <c r="C328" s="45" t="s">
        <v>15</v>
      </c>
      <c r="D328" s="46" t="s">
        <v>24</v>
      </c>
      <c r="E328" s="46" t="s">
        <v>25</v>
      </c>
      <c r="F328" s="46" t="s">
        <v>26</v>
      </c>
    </row>
    <row r="329" spans="1:64">
      <c r="A329" s="51" t="s">
        <v>148</v>
      </c>
      <c r="B329" s="114" t="s">
        <v>145</v>
      </c>
      <c r="C329" s="86">
        <v>6</v>
      </c>
      <c r="D329" s="76">
        <v>79.400000000000006</v>
      </c>
      <c r="E329" s="54">
        <f>+D329*C329</f>
        <v>476.40000000000003</v>
      </c>
      <c r="F329" s="90"/>
    </row>
    <row r="330" spans="1:64">
      <c r="A330" s="51" t="s">
        <v>149</v>
      </c>
      <c r="B330" s="114" t="s">
        <v>28</v>
      </c>
      <c r="C330" s="52">
        <v>12</v>
      </c>
      <c r="D330" s="115">
        <f>SUM(E329:E329)</f>
        <v>476.40000000000003</v>
      </c>
      <c r="E330" s="115">
        <f>+D330/C330</f>
        <v>39.700000000000003</v>
      </c>
      <c r="F330" s="90"/>
    </row>
    <row r="331" spans="1:64">
      <c r="A331" s="51" t="s">
        <v>150</v>
      </c>
      <c r="B331" s="52" t="s">
        <v>58</v>
      </c>
      <c r="C331" s="86">
        <f>+C329</f>
        <v>6</v>
      </c>
      <c r="D331" s="76">
        <f>D329</f>
        <v>79.400000000000006</v>
      </c>
      <c r="E331" s="54">
        <f>C331*D331</f>
        <v>476.40000000000003</v>
      </c>
      <c r="F331" s="90"/>
    </row>
    <row r="332" spans="1:64">
      <c r="A332" s="51" t="s">
        <v>151</v>
      </c>
      <c r="B332" s="114" t="s">
        <v>28</v>
      </c>
      <c r="C332" s="52">
        <v>1</v>
      </c>
      <c r="D332" s="115">
        <f>+E331</f>
        <v>476.40000000000003</v>
      </c>
      <c r="E332" s="115">
        <f>+D332/C332</f>
        <v>476.40000000000003</v>
      </c>
      <c r="F332" s="90"/>
    </row>
    <row r="333" spans="1:64">
      <c r="A333" s="64"/>
      <c r="B333" s="64"/>
      <c r="C333" s="64"/>
      <c r="D333" s="61" t="s">
        <v>43</v>
      </c>
      <c r="E333" s="62">
        <f>$B$50</f>
        <v>1</v>
      </c>
      <c r="F333" s="88">
        <f>(E330+E332)*E333</f>
        <v>516.1</v>
      </c>
    </row>
    <row r="334" spans="1:64" ht="11.25" customHeight="1">
      <c r="G334" s="116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</row>
    <row r="335" spans="1:64">
      <c r="A335" s="77" t="s">
        <v>152</v>
      </c>
      <c r="B335" s="78"/>
      <c r="C335" s="78"/>
      <c r="D335" s="8"/>
      <c r="E335" s="79"/>
      <c r="F335" s="88">
        <f>+F333</f>
        <v>516.1</v>
      </c>
    </row>
    <row r="336" spans="1:64" ht="19.5" customHeight="1">
      <c r="A336" s="15"/>
      <c r="B336" s="15"/>
      <c r="C336" s="15"/>
      <c r="D336" s="314"/>
      <c r="E336" s="314"/>
      <c r="F336" s="315"/>
    </row>
    <row r="337" spans="1:6" ht="19.5" customHeight="1">
      <c r="A337" s="15" t="s">
        <v>385</v>
      </c>
      <c r="B337" s="15"/>
      <c r="C337" s="15"/>
      <c r="D337" s="314"/>
      <c r="E337" s="314"/>
      <c r="F337" s="315"/>
    </row>
    <row r="338" spans="1:6" ht="19.5" customHeight="1">
      <c r="A338" s="97" t="s">
        <v>22</v>
      </c>
      <c r="B338" s="97" t="s">
        <v>23</v>
      </c>
      <c r="C338" s="97" t="s">
        <v>15</v>
      </c>
      <c r="D338" s="98" t="s">
        <v>24</v>
      </c>
      <c r="E338" s="98" t="s">
        <v>25</v>
      </c>
      <c r="F338" s="46" t="s">
        <v>26</v>
      </c>
    </row>
    <row r="339" spans="1:6" ht="19.5" customHeight="1">
      <c r="A339" s="312" t="s">
        <v>383</v>
      </c>
      <c r="B339" s="229" t="s">
        <v>23</v>
      </c>
      <c r="C339" s="312">
        <v>1</v>
      </c>
      <c r="D339" s="231">
        <v>7000</v>
      </c>
      <c r="E339" s="231">
        <f t="shared" ref="E339" si="6">C339*D339</f>
        <v>7000</v>
      </c>
      <c r="F339" s="88">
        <f>SUM(E339:E339)</f>
        <v>7000</v>
      </c>
    </row>
    <row r="340" spans="1:6" ht="19.5" customHeight="1">
      <c r="A340" s="15"/>
      <c r="B340" s="15"/>
      <c r="C340" s="15"/>
      <c r="D340" s="314"/>
      <c r="E340" s="314"/>
      <c r="F340" s="315"/>
    </row>
    <row r="341" spans="1:6" ht="11.25" customHeight="1"/>
    <row r="342" spans="1:6" ht="17.25" customHeight="1">
      <c r="A342" s="77" t="s">
        <v>153</v>
      </c>
      <c r="B342" s="40"/>
      <c r="C342" s="40"/>
      <c r="D342" s="29"/>
      <c r="E342" s="87"/>
      <c r="F342" s="75">
        <f>+F139+F174+F312+F324+F335+F339</f>
        <v>320899.97012853174</v>
      </c>
    </row>
    <row r="343" spans="1:6" ht="11.25" customHeight="1"/>
    <row r="344" spans="1:6">
      <c r="A344" s="15" t="s">
        <v>382</v>
      </c>
    </row>
    <row r="345" spans="1:6" ht="11.25" customHeight="1"/>
    <row r="346" spans="1:6">
      <c r="A346" s="45" t="s">
        <v>22</v>
      </c>
      <c r="B346" s="45" t="s">
        <v>23</v>
      </c>
      <c r="C346" s="45" t="s">
        <v>15</v>
      </c>
      <c r="D346" s="46" t="s">
        <v>24</v>
      </c>
      <c r="E346" s="46" t="s">
        <v>25</v>
      </c>
      <c r="F346" s="46" t="s">
        <v>26</v>
      </c>
    </row>
    <row r="347" spans="1:6">
      <c r="A347" s="47" t="s">
        <v>154</v>
      </c>
      <c r="B347" s="48" t="s">
        <v>4</v>
      </c>
      <c r="C347" s="59">
        <f>'4_BDI'!C20*100</f>
        <v>28.07</v>
      </c>
      <c r="D347" s="50">
        <f>+F342</f>
        <v>320899.97012853174</v>
      </c>
      <c r="E347" s="50">
        <f>C347*D347/100</f>
        <v>90076.621615078853</v>
      </c>
    </row>
    <row r="348" spans="1:6">
      <c r="F348" s="88">
        <f>+E347</f>
        <v>90076.621615078853</v>
      </c>
    </row>
    <row r="349" spans="1:6" ht="11.25" customHeight="1"/>
    <row r="350" spans="1:6">
      <c r="A350" s="77" t="s">
        <v>155</v>
      </c>
      <c r="B350" s="40"/>
      <c r="C350" s="40"/>
      <c r="D350" s="29"/>
      <c r="E350" s="87"/>
      <c r="F350" s="75">
        <f>F348</f>
        <v>90076.621615078853</v>
      </c>
    </row>
    <row r="351" spans="1:6">
      <c r="A351" s="15"/>
      <c r="B351" s="15"/>
      <c r="C351" s="15"/>
      <c r="D351" s="14"/>
      <c r="E351" s="14"/>
      <c r="F351" s="57"/>
    </row>
    <row r="352" spans="1:6" ht="11.25" customHeight="1"/>
    <row r="353" spans="1:64" ht="24.75" customHeight="1">
      <c r="A353" s="77" t="s">
        <v>156</v>
      </c>
      <c r="B353" s="40"/>
      <c r="C353" s="40"/>
      <c r="D353" s="29"/>
      <c r="E353" s="87"/>
      <c r="F353" s="75">
        <f>F342+F350</f>
        <v>410976.59174361057</v>
      </c>
      <c r="H353" s="212"/>
    </row>
    <row r="354" spans="1:64" ht="20.100000000000001" customHeight="1">
      <c r="A354" s="15"/>
      <c r="B354" s="15"/>
      <c r="C354" s="15"/>
      <c r="D354" s="14"/>
      <c r="E354" s="14"/>
      <c r="F354" s="14"/>
    </row>
    <row r="355" spans="1:64" ht="17.100000000000001" customHeight="1">
      <c r="A355" s="323" t="s">
        <v>303</v>
      </c>
      <c r="B355" s="324"/>
      <c r="C355" s="325"/>
      <c r="D355" s="231">
        <f>MemoriaCalculo!E24</f>
        <v>1548.4905263157896</v>
      </c>
      <c r="E355" s="231" t="s">
        <v>306</v>
      </c>
      <c r="G355" s="4"/>
      <c r="H355" s="5"/>
      <c r="I355" s="198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</row>
    <row r="356" spans="1:64" ht="20.100000000000001" customHeight="1">
      <c r="A356" s="117"/>
      <c r="B356" s="2"/>
      <c r="C356" s="2"/>
      <c r="G356" s="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</row>
    <row r="357" spans="1:64" ht="20.85" customHeight="1">
      <c r="A357" s="326" t="s">
        <v>304</v>
      </c>
      <c r="B357" s="327"/>
      <c r="C357" s="327"/>
      <c r="D357" s="328"/>
      <c r="E357" s="231" t="s">
        <v>305</v>
      </c>
      <c r="F357" s="257">
        <f>IFERROR(F353/D355,"-")</f>
        <v>265.40465360251005</v>
      </c>
      <c r="G357" s="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</row>
    <row r="364" spans="1:64" ht="15.75">
      <c r="F364" s="258"/>
    </row>
    <row r="387" spans="4:7" ht="9" customHeight="1">
      <c r="D387" s="3"/>
      <c r="E387" s="3"/>
      <c r="F387" s="3"/>
      <c r="G387" s="3"/>
    </row>
  </sheetData>
  <mergeCells count="9">
    <mergeCell ref="A355:C355"/>
    <mergeCell ref="A357:D357"/>
    <mergeCell ref="A45:D45"/>
    <mergeCell ref="A1:F1"/>
    <mergeCell ref="A2:F2"/>
    <mergeCell ref="A3:F3"/>
    <mergeCell ref="A15:C15"/>
    <mergeCell ref="A37:E37"/>
    <mergeCell ref="A38:D38"/>
  </mergeCells>
  <hyperlinks>
    <hyperlink ref="A180" location="AbaDeprec" display="3.1.1. Depreciação" xr:uid="{00000000-0004-0000-0000-000000000000}"/>
    <hyperlink ref="A198" location="AbaRemun" display="3.1.2. Remuneração do Capital" xr:uid="{00000000-0004-0000-0000-000001000000}"/>
  </hyperlinks>
  <pageMargins left="0.90551181102362199" right="0.511811023622047" top="1.1417322834645671" bottom="1.0236220472440953" header="0.74803149606299213" footer="0.31496062992126012"/>
  <pageSetup paperSize="9" scale="77" fitToHeight="0" orientation="portrait" r:id="rId1"/>
  <headerFooter alignWithMargins="0">
    <oddFooter>&amp;R&amp;"Arial3,Regular"&amp;P de &amp;N</oddFooter>
  </headerFooter>
  <rowBreaks count="5" manualBreakCount="5">
    <brk id="50" max="5" man="1"/>
    <brk id="126" max="5" man="1"/>
    <brk id="196" max="5" man="1"/>
    <brk id="268" max="5" man="1"/>
    <brk id="340" max="5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9C10-059F-49AA-8333-5597BE13D7DF}">
  <dimension ref="A1:L24"/>
  <sheetViews>
    <sheetView topLeftCell="A6" workbookViewId="0">
      <selection activeCell="A6" sqref="A6:G24"/>
    </sheetView>
  </sheetViews>
  <sheetFormatPr defaultColWidth="9.140625" defaultRowHeight="12.75"/>
  <cols>
    <col min="1" max="1" width="58.28515625" style="264" customWidth="1"/>
    <col min="2" max="2" width="11.140625" style="264" bestFit="1" customWidth="1"/>
    <col min="3" max="3" width="11.28515625" style="264" bestFit="1" customWidth="1"/>
    <col min="4" max="16384" width="9.140625" style="264"/>
  </cols>
  <sheetData>
    <row r="1" spans="1:12">
      <c r="A1" s="263" t="s">
        <v>335</v>
      </c>
    </row>
    <row r="2" spans="1:12">
      <c r="A2" s="265" t="s">
        <v>336</v>
      </c>
    </row>
    <row r="3" spans="1:12">
      <c r="A3" s="265" t="s">
        <v>337</v>
      </c>
    </row>
    <row r="4" spans="1:12">
      <c r="A4" s="266" t="s">
        <v>338</v>
      </c>
    </row>
    <row r="5" spans="1:12">
      <c r="A5" s="266"/>
    </row>
    <row r="6" spans="1:12" s="5" customFormat="1" ht="15.75">
      <c r="A6" s="267" t="s">
        <v>339</v>
      </c>
      <c r="B6" s="119"/>
      <c r="C6" s="119"/>
      <c r="D6" s="119"/>
      <c r="E6" s="119"/>
      <c r="F6" s="119"/>
      <c r="G6" s="268"/>
    </row>
    <row r="7" spans="1:12" s="5" customFormat="1" ht="47.25">
      <c r="A7" s="298" t="s">
        <v>340</v>
      </c>
      <c r="B7" s="119"/>
      <c r="C7" s="119"/>
      <c r="D7" s="268"/>
      <c r="E7" s="268"/>
      <c r="F7" s="268"/>
      <c r="G7" s="268"/>
    </row>
    <row r="8" spans="1:12" ht="13.5" thickBot="1"/>
    <row r="9" spans="1:12" ht="18">
      <c r="A9" s="342" t="s">
        <v>387</v>
      </c>
      <c r="B9" s="343"/>
      <c r="C9" s="344"/>
    </row>
    <row r="10" spans="1:12" ht="18">
      <c r="A10" s="269"/>
      <c r="B10" s="270"/>
      <c r="C10" s="271"/>
    </row>
    <row r="11" spans="1:12" s="275" customFormat="1" ht="15">
      <c r="A11" s="272" t="s">
        <v>341</v>
      </c>
      <c r="B11" s="273" t="s">
        <v>342</v>
      </c>
      <c r="C11" s="274" t="s">
        <v>160</v>
      </c>
    </row>
    <row r="12" spans="1:12" ht="14.25">
      <c r="A12" s="276" t="s">
        <v>343</v>
      </c>
      <c r="B12" s="277" t="s">
        <v>344</v>
      </c>
      <c r="C12" s="278">
        <v>0</v>
      </c>
    </row>
    <row r="13" spans="1:12" ht="14.25">
      <c r="A13" s="276" t="s">
        <v>345</v>
      </c>
      <c r="B13" s="277" t="s">
        <v>346</v>
      </c>
      <c r="C13" s="279">
        <f>0.0362741*C12^0.2336249</f>
        <v>0</v>
      </c>
    </row>
    <row r="14" spans="1:12" ht="14.25">
      <c r="A14" s="276" t="s">
        <v>347</v>
      </c>
      <c r="B14" s="277" t="s">
        <v>348</v>
      </c>
      <c r="C14" s="280">
        <f>C15/26</f>
        <v>59.557327935222673</v>
      </c>
      <c r="J14" s="264">
        <v>1408.49</v>
      </c>
      <c r="K14" s="264">
        <v>30</v>
      </c>
      <c r="L14" s="264">
        <f>J14/K14</f>
        <v>46.949666666666666</v>
      </c>
    </row>
    <row r="15" spans="1:12" ht="14.25">
      <c r="A15" s="276" t="s">
        <v>349</v>
      </c>
      <c r="B15" s="277" t="s">
        <v>350</v>
      </c>
      <c r="C15" s="281">
        <f>MemoriaCalculo!E24</f>
        <v>1548.4905263157896</v>
      </c>
    </row>
    <row r="16" spans="1:12" ht="14.25">
      <c r="A16" s="276" t="s">
        <v>351</v>
      </c>
      <c r="B16" s="277" t="s">
        <v>54</v>
      </c>
      <c r="C16" s="282">
        <v>6</v>
      </c>
      <c r="J16" s="264">
        <v>2529.4</v>
      </c>
      <c r="K16" s="264">
        <v>30</v>
      </c>
      <c r="L16" s="264">
        <f>J16/K16</f>
        <v>84.313333333333333</v>
      </c>
    </row>
    <row r="17" spans="1:3" ht="14.25">
      <c r="A17" s="276" t="s">
        <v>352</v>
      </c>
      <c r="B17" s="277" t="s">
        <v>348</v>
      </c>
      <c r="C17" s="280">
        <f>IFERROR(C14*7/C16,0)</f>
        <v>69.483549257759776</v>
      </c>
    </row>
    <row r="18" spans="1:3" ht="14.25">
      <c r="A18" s="276" t="s">
        <v>353</v>
      </c>
      <c r="B18" s="277" t="s">
        <v>354</v>
      </c>
      <c r="C18" s="283">
        <v>500</v>
      </c>
    </row>
    <row r="19" spans="1:3" ht="14.25">
      <c r="A19" s="276" t="s">
        <v>355</v>
      </c>
      <c r="B19" s="277"/>
      <c r="C19" s="278">
        <v>1</v>
      </c>
    </row>
    <row r="20" spans="1:3" ht="14.25">
      <c r="A20" s="276" t="s">
        <v>356</v>
      </c>
      <c r="B20" s="277" t="s">
        <v>357</v>
      </c>
      <c r="C20" s="278">
        <v>12</v>
      </c>
    </row>
    <row r="21" spans="1:3" ht="14.25">
      <c r="A21" s="276" t="s">
        <v>358</v>
      </c>
      <c r="B21" s="277" t="s">
        <v>350</v>
      </c>
      <c r="C21" s="283">
        <v>6</v>
      </c>
    </row>
    <row r="22" spans="1:3" ht="14.25">
      <c r="A22" s="276" t="s">
        <v>359</v>
      </c>
      <c r="B22" s="277"/>
      <c r="C22" s="280">
        <f>IFERROR(C17/C21,0)</f>
        <v>11.580591542959963</v>
      </c>
    </row>
    <row r="23" spans="1:3" ht="14.25">
      <c r="A23" s="276" t="s">
        <v>360</v>
      </c>
      <c r="B23" s="277"/>
      <c r="C23" s="284">
        <v>2</v>
      </c>
    </row>
    <row r="24" spans="1:3" ht="15" thickBot="1">
      <c r="A24" s="285" t="s">
        <v>361</v>
      </c>
      <c r="B24" s="286"/>
      <c r="C24" s="287">
        <f>IFERROR(C22/C23,0)</f>
        <v>5.7902957714799816</v>
      </c>
    </row>
  </sheetData>
  <mergeCells count="1">
    <mergeCell ref="A9:C9"/>
  </mergeCells>
  <conditionalFormatting sqref="C21">
    <cfRule type="expression" dxfId="1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7032-0694-430B-BCCD-C4150CB1DB92}">
  <dimension ref="A1:L24"/>
  <sheetViews>
    <sheetView workbookViewId="0">
      <selection sqref="A1:G26"/>
    </sheetView>
  </sheetViews>
  <sheetFormatPr defaultColWidth="9.140625" defaultRowHeight="12.75"/>
  <cols>
    <col min="1" max="1" width="58.28515625" style="264" customWidth="1"/>
    <col min="2" max="2" width="11.140625" style="264" bestFit="1" customWidth="1"/>
    <col min="3" max="3" width="11.28515625" style="264" bestFit="1" customWidth="1"/>
    <col min="4" max="16384" width="9.140625" style="264"/>
  </cols>
  <sheetData>
    <row r="1" spans="1:12">
      <c r="A1" s="263" t="s">
        <v>335</v>
      </c>
    </row>
    <row r="2" spans="1:12">
      <c r="A2" s="265" t="s">
        <v>336</v>
      </c>
    </row>
    <row r="3" spans="1:12">
      <c r="A3" s="265" t="s">
        <v>337</v>
      </c>
    </row>
    <row r="4" spans="1:12">
      <c r="A4" s="266" t="s">
        <v>338</v>
      </c>
    </row>
    <row r="5" spans="1:12">
      <c r="A5" s="266"/>
    </row>
    <row r="6" spans="1:12" s="5" customFormat="1" ht="15.75">
      <c r="A6" s="267" t="s">
        <v>339</v>
      </c>
      <c r="B6" s="119"/>
      <c r="C6" s="119"/>
      <c r="D6" s="119"/>
      <c r="E6" s="119"/>
      <c r="F6" s="119"/>
      <c r="G6" s="268"/>
    </row>
    <row r="7" spans="1:12" s="5" customFormat="1" ht="47.25">
      <c r="A7" s="298" t="s">
        <v>340</v>
      </c>
      <c r="B7" s="119"/>
      <c r="C7" s="119"/>
      <c r="D7" s="268"/>
      <c r="E7" s="268"/>
      <c r="F7" s="268"/>
      <c r="G7" s="268"/>
    </row>
    <row r="8" spans="1:12" ht="13.5" thickBot="1"/>
    <row r="9" spans="1:12" ht="18">
      <c r="A9" s="342" t="s">
        <v>386</v>
      </c>
      <c r="B9" s="343"/>
      <c r="C9" s="344"/>
    </row>
    <row r="10" spans="1:12" ht="18">
      <c r="A10" s="269"/>
      <c r="B10" s="270"/>
      <c r="C10" s="271"/>
      <c r="J10" s="264">
        <v>2529.4</v>
      </c>
      <c r="K10" s="264">
        <v>30</v>
      </c>
      <c r="L10" s="264">
        <f>J10/K10</f>
        <v>84.313333333333333</v>
      </c>
    </row>
    <row r="11" spans="1:12" s="275" customFormat="1" ht="15">
      <c r="A11" s="272" t="s">
        <v>341</v>
      </c>
      <c r="B11" s="273" t="s">
        <v>342</v>
      </c>
      <c r="C11" s="274" t="s">
        <v>160</v>
      </c>
    </row>
    <row r="12" spans="1:12" ht="14.25">
      <c r="A12" s="276" t="s">
        <v>343</v>
      </c>
      <c r="B12" s="277" t="s">
        <v>344</v>
      </c>
      <c r="C12" s="278">
        <v>0</v>
      </c>
    </row>
    <row r="13" spans="1:12" ht="14.25">
      <c r="A13" s="276" t="s">
        <v>345</v>
      </c>
      <c r="B13" s="277" t="s">
        <v>346</v>
      </c>
      <c r="C13" s="279">
        <f>0.0362741*C12^0.2336249</f>
        <v>0</v>
      </c>
    </row>
    <row r="14" spans="1:12" ht="14.25">
      <c r="A14" s="276" t="s">
        <v>347</v>
      </c>
      <c r="B14" s="277" t="s">
        <v>348</v>
      </c>
      <c r="C14" s="280">
        <f>C15/30</f>
        <v>88.48533333333333</v>
      </c>
    </row>
    <row r="15" spans="1:12" ht="14.25">
      <c r="A15" s="276" t="s">
        <v>349</v>
      </c>
      <c r="B15" s="277" t="s">
        <v>350</v>
      </c>
      <c r="C15" s="281">
        <f>MemoriaCalculo!D24</f>
        <v>2654.56</v>
      </c>
    </row>
    <row r="16" spans="1:12" ht="14.25">
      <c r="A16" s="276" t="s">
        <v>351</v>
      </c>
      <c r="B16" s="277" t="s">
        <v>54</v>
      </c>
      <c r="C16" s="282">
        <v>6</v>
      </c>
    </row>
    <row r="17" spans="1:3" ht="14.25">
      <c r="A17" s="276" t="s">
        <v>352</v>
      </c>
      <c r="B17" s="277" t="s">
        <v>348</v>
      </c>
      <c r="C17" s="280">
        <f>IFERROR(C14*7/C16,0)</f>
        <v>103.23288888888889</v>
      </c>
    </row>
    <row r="18" spans="1:3" ht="14.25">
      <c r="A18" s="276" t="s">
        <v>353</v>
      </c>
      <c r="B18" s="277" t="s">
        <v>354</v>
      </c>
      <c r="C18" s="283">
        <v>500</v>
      </c>
    </row>
    <row r="19" spans="1:3" ht="14.25">
      <c r="A19" s="276" t="s">
        <v>355</v>
      </c>
      <c r="B19" s="277"/>
      <c r="C19" s="278">
        <v>1</v>
      </c>
    </row>
    <row r="20" spans="1:3" ht="14.25">
      <c r="A20" s="276" t="s">
        <v>356</v>
      </c>
      <c r="B20" s="277" t="s">
        <v>357</v>
      </c>
      <c r="C20" s="278">
        <v>12</v>
      </c>
    </row>
    <row r="21" spans="1:3" ht="14.25">
      <c r="A21" s="276" t="s">
        <v>358</v>
      </c>
      <c r="B21" s="277" t="s">
        <v>350</v>
      </c>
      <c r="C21" s="283">
        <f>IF(AND(C20&gt;=15,C19=1),5.8,C20/2)</f>
        <v>6</v>
      </c>
    </row>
    <row r="22" spans="1:3" ht="14.25">
      <c r="A22" s="276" t="s">
        <v>359</v>
      </c>
      <c r="B22" s="277"/>
      <c r="C22" s="280">
        <f>IFERROR(C17/C21,0)</f>
        <v>17.205481481481481</v>
      </c>
    </row>
    <row r="23" spans="1:3" ht="14.25">
      <c r="A23" s="276" t="s">
        <v>360</v>
      </c>
      <c r="B23" s="277"/>
      <c r="C23" s="284">
        <v>3</v>
      </c>
    </row>
    <row r="24" spans="1:3" ht="15" thickBot="1">
      <c r="A24" s="285" t="s">
        <v>361</v>
      </c>
      <c r="B24" s="286"/>
      <c r="C24" s="287">
        <f>IFERROR(C22/C23,0)</f>
        <v>5.7351604938271601</v>
      </c>
    </row>
  </sheetData>
  <mergeCells count="1">
    <mergeCell ref="A9:C9"/>
  </mergeCells>
  <conditionalFormatting sqref="C21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95DB7-CBFF-4B5A-96FC-37431EC77854}">
  <sheetPr>
    <pageSetUpPr fitToPage="1"/>
  </sheetPr>
  <dimension ref="B2:AO34"/>
  <sheetViews>
    <sheetView workbookViewId="0">
      <selection sqref="A1:F20"/>
    </sheetView>
  </sheetViews>
  <sheetFormatPr defaultRowHeight="12.75"/>
  <cols>
    <col min="2" max="2" width="15.5703125" customWidth="1"/>
    <col min="3" max="3" width="10.85546875" bestFit="1" customWidth="1"/>
    <col min="4" max="4" width="12.42578125" bestFit="1" customWidth="1"/>
    <col min="5" max="5" width="13.5703125" bestFit="1" customWidth="1"/>
    <col min="6" max="6" width="3.5703125" customWidth="1"/>
    <col min="7" max="7" width="12.140625" bestFit="1" customWidth="1"/>
    <col min="8" max="8" width="2.85546875" customWidth="1"/>
    <col min="9" max="10" width="12.140625" hidden="1" customWidth="1"/>
    <col min="11" max="11" width="13.5703125" hidden="1" customWidth="1"/>
    <col min="12" max="12" width="16.140625" hidden="1" customWidth="1"/>
    <col min="13" max="13" width="14.7109375" hidden="1" customWidth="1"/>
    <col min="14" max="14" width="17" hidden="1" customWidth="1"/>
    <col min="15" max="16" width="0" hidden="1" customWidth="1"/>
    <col min="17" max="17" width="2.85546875" hidden="1" customWidth="1"/>
    <col min="18" max="18" width="0" hidden="1" customWidth="1"/>
    <col min="19" max="19" width="2.42578125" hidden="1" customWidth="1"/>
    <col min="20" max="20" width="0" hidden="1" customWidth="1"/>
    <col min="21" max="21" width="3.42578125" hidden="1" customWidth="1"/>
    <col min="22" max="22" width="0" hidden="1" customWidth="1"/>
    <col min="23" max="23" width="3" hidden="1" customWidth="1"/>
    <col min="24" max="24" width="0" hidden="1" customWidth="1"/>
    <col min="25" max="25" width="2.42578125" hidden="1" customWidth="1"/>
    <col min="26" max="26" width="0" hidden="1" customWidth="1"/>
    <col min="27" max="27" width="2.42578125" hidden="1" customWidth="1"/>
    <col min="28" max="28" width="0" hidden="1" customWidth="1"/>
    <col min="29" max="29" width="2.7109375" hidden="1" customWidth="1"/>
    <col min="30" max="30" width="0" hidden="1" customWidth="1"/>
    <col min="31" max="31" width="3.140625" hidden="1" customWidth="1"/>
    <col min="32" max="32" width="0" hidden="1" customWidth="1"/>
    <col min="33" max="33" width="1.85546875" hidden="1" customWidth="1"/>
    <col min="34" max="34" width="0" hidden="1" customWidth="1"/>
    <col min="35" max="35" width="2.85546875" hidden="1" customWidth="1"/>
    <col min="36" max="39" width="0" hidden="1" customWidth="1"/>
  </cols>
  <sheetData>
    <row r="2" spans="2:38">
      <c r="B2" s="239"/>
      <c r="C2" s="239" t="s">
        <v>327</v>
      </c>
      <c r="D2" s="239"/>
      <c r="E2" s="295">
        <v>2025</v>
      </c>
      <c r="F2" s="239"/>
      <c r="G2" s="239"/>
    </row>
    <row r="3" spans="2:38">
      <c r="B3" s="239"/>
      <c r="C3" s="239"/>
      <c r="D3" s="239"/>
      <c r="E3" s="239"/>
      <c r="F3" s="239"/>
      <c r="G3" s="239"/>
    </row>
    <row r="4" spans="2:38" ht="15.75">
      <c r="B4" s="238"/>
      <c r="C4" s="240" t="s">
        <v>294</v>
      </c>
      <c r="D4" s="240" t="s">
        <v>295</v>
      </c>
      <c r="E4" s="240" t="s">
        <v>296</v>
      </c>
      <c r="F4" s="240"/>
      <c r="G4" s="240" t="s">
        <v>276</v>
      </c>
      <c r="H4" s="217"/>
      <c r="I4" s="217"/>
      <c r="J4" s="217"/>
      <c r="K4" s="217"/>
    </row>
    <row r="5" spans="2:38" ht="15.75">
      <c r="B5" s="238" t="s">
        <v>282</v>
      </c>
      <c r="C5" s="238">
        <v>2960.4</v>
      </c>
      <c r="D5" s="293">
        <f>C5</f>
        <v>2960.4</v>
      </c>
      <c r="E5" s="238">
        <f>C5-D5</f>
        <v>0</v>
      </c>
      <c r="F5" s="238"/>
      <c r="G5" s="238">
        <v>55.58</v>
      </c>
      <c r="H5" s="217"/>
      <c r="I5" s="217">
        <v>986.05</v>
      </c>
      <c r="J5" s="217">
        <f>G5*I5</f>
        <v>54804.658999999992</v>
      </c>
      <c r="K5" s="217">
        <v>311.3</v>
      </c>
      <c r="L5" s="218">
        <f>D5*K5</f>
        <v>921572.52</v>
      </c>
      <c r="M5" s="217"/>
      <c r="N5" s="251">
        <f>L5</f>
        <v>921572.52</v>
      </c>
      <c r="O5" s="217"/>
      <c r="P5" s="345" t="s">
        <v>297</v>
      </c>
      <c r="Q5" s="345"/>
      <c r="R5" s="345"/>
      <c r="S5" s="345"/>
      <c r="T5" s="345"/>
      <c r="U5" s="345"/>
      <c r="V5" s="345"/>
      <c r="X5" s="345" t="s">
        <v>297</v>
      </c>
      <c r="Y5" s="345"/>
      <c r="Z5" s="345"/>
      <c r="AA5" s="345"/>
      <c r="AB5" s="345"/>
      <c r="AC5" s="345"/>
      <c r="AD5" s="345"/>
    </row>
    <row r="6" spans="2:38" ht="15.75">
      <c r="B6" s="238" t="s">
        <v>283</v>
      </c>
      <c r="C6" s="238">
        <v>2193.23</v>
      </c>
      <c r="D6" s="238">
        <f>C6</f>
        <v>2193.23</v>
      </c>
      <c r="E6" s="238">
        <v>0</v>
      </c>
      <c r="F6" s="238"/>
      <c r="G6" s="238">
        <v>47.21</v>
      </c>
      <c r="H6" s="217"/>
      <c r="I6" s="217">
        <v>986.05</v>
      </c>
      <c r="J6" s="217">
        <f t="shared" ref="J6:J16" si="0">G6*I6</f>
        <v>46551.4205</v>
      </c>
      <c r="K6" s="217">
        <v>311.3</v>
      </c>
      <c r="L6" s="218">
        <f t="shared" ref="L6:L16" si="1">D6*K6</f>
        <v>682752.49900000007</v>
      </c>
      <c r="M6" s="217"/>
      <c r="N6" s="251">
        <f t="shared" ref="N6:N15" si="2">L6</f>
        <v>682752.49900000007</v>
      </c>
      <c r="O6" s="217"/>
      <c r="P6">
        <v>6.94</v>
      </c>
      <c r="R6">
        <v>13.57</v>
      </c>
      <c r="T6">
        <v>14.07</v>
      </c>
      <c r="V6">
        <v>16.239999999999998</v>
      </c>
      <c r="X6">
        <v>40.549999999999997</v>
      </c>
      <c r="Z6">
        <v>49.77</v>
      </c>
      <c r="AB6">
        <v>0</v>
      </c>
      <c r="AD6">
        <v>0</v>
      </c>
      <c r="AF6">
        <v>0</v>
      </c>
      <c r="AH6">
        <v>0</v>
      </c>
      <c r="AJ6">
        <v>0</v>
      </c>
      <c r="AL6">
        <v>11.75</v>
      </c>
    </row>
    <row r="7" spans="2:38" ht="15.75">
      <c r="B7" s="238" t="s">
        <v>284</v>
      </c>
      <c r="C7" s="292">
        <v>1945.37</v>
      </c>
      <c r="D7" s="238">
        <v>0</v>
      </c>
      <c r="E7" s="238">
        <f>C7</f>
        <v>1945.37</v>
      </c>
      <c r="F7" s="238"/>
      <c r="G7" s="238">
        <v>45.93</v>
      </c>
      <c r="H7" s="217"/>
      <c r="I7" s="217">
        <v>986.05</v>
      </c>
      <c r="J7" s="217">
        <f t="shared" si="0"/>
        <v>45289.2765</v>
      </c>
      <c r="K7" s="217">
        <v>311.3</v>
      </c>
      <c r="L7" s="251">
        <f t="shared" si="1"/>
        <v>0</v>
      </c>
      <c r="M7" s="218">
        <f>E7*K8</f>
        <v>462336.63419999997</v>
      </c>
      <c r="N7" s="218">
        <f>L7+M7</f>
        <v>462336.63419999997</v>
      </c>
      <c r="O7" s="217"/>
      <c r="P7">
        <v>16.739999999999998</v>
      </c>
      <c r="R7">
        <v>11.28</v>
      </c>
      <c r="T7">
        <v>20.61</v>
      </c>
      <c r="V7">
        <v>26.9</v>
      </c>
      <c r="X7">
        <v>35.26</v>
      </c>
      <c r="Z7">
        <v>44.46</v>
      </c>
      <c r="AB7">
        <v>0</v>
      </c>
      <c r="AD7">
        <v>0</v>
      </c>
      <c r="AF7">
        <v>0</v>
      </c>
      <c r="AH7">
        <v>0</v>
      </c>
      <c r="AJ7">
        <v>0</v>
      </c>
      <c r="AL7">
        <v>13.79</v>
      </c>
    </row>
    <row r="8" spans="2:38" ht="15.75">
      <c r="B8" s="238" t="s">
        <v>285</v>
      </c>
      <c r="C8" s="238">
        <v>1584.26</v>
      </c>
      <c r="D8" s="238">
        <v>0</v>
      </c>
      <c r="E8" s="238">
        <f t="shared" ref="E8:E15" si="3">C8-D8</f>
        <v>1584.26</v>
      </c>
      <c r="F8" s="238"/>
      <c r="G8" s="308">
        <v>37.76</v>
      </c>
      <c r="H8" s="309"/>
      <c r="I8" s="254">
        <v>986.05</v>
      </c>
      <c r="J8" s="255" t="s">
        <v>332</v>
      </c>
      <c r="K8" s="217">
        <v>237.66</v>
      </c>
      <c r="L8" s="218">
        <f>C8*K8</f>
        <v>376515.2316</v>
      </c>
      <c r="M8" s="217"/>
      <c r="N8" s="251">
        <f t="shared" si="2"/>
        <v>376515.2316</v>
      </c>
      <c r="O8" s="217"/>
      <c r="P8">
        <v>9.06</v>
      </c>
      <c r="R8">
        <v>13.95</v>
      </c>
      <c r="T8">
        <v>12.63</v>
      </c>
      <c r="V8">
        <v>25.45</v>
      </c>
      <c r="X8">
        <v>36.71</v>
      </c>
      <c r="Z8">
        <v>19.8</v>
      </c>
      <c r="AB8">
        <v>0</v>
      </c>
      <c r="AD8">
        <v>0</v>
      </c>
      <c r="AF8">
        <v>0</v>
      </c>
      <c r="AH8">
        <v>0</v>
      </c>
      <c r="AJ8">
        <v>0</v>
      </c>
      <c r="AL8">
        <v>22.01</v>
      </c>
    </row>
    <row r="9" spans="2:38" ht="15.75">
      <c r="B9" s="238" t="s">
        <v>286</v>
      </c>
      <c r="C9" s="293">
        <v>1441.66</v>
      </c>
      <c r="D9" s="293">
        <v>0</v>
      </c>
      <c r="E9" s="238">
        <f t="shared" si="3"/>
        <v>1441.66</v>
      </c>
      <c r="F9" s="238"/>
      <c r="G9" s="238">
        <v>36.380000000000003</v>
      </c>
      <c r="H9" s="217"/>
      <c r="I9" s="217">
        <v>986.05</v>
      </c>
      <c r="J9" s="217">
        <f t="shared" si="0"/>
        <v>35872.499000000003</v>
      </c>
      <c r="K9" s="217">
        <v>237.66</v>
      </c>
      <c r="L9" s="218">
        <f t="shared" ref="L9:L15" si="4">C9*K9</f>
        <v>342624.91560000001</v>
      </c>
      <c r="M9" s="217"/>
      <c r="N9" s="251">
        <f t="shared" si="2"/>
        <v>342624.91560000001</v>
      </c>
      <c r="O9" s="217"/>
      <c r="P9">
        <v>7.79</v>
      </c>
      <c r="R9">
        <v>10.1</v>
      </c>
      <c r="T9">
        <v>11.97</v>
      </c>
      <c r="V9">
        <v>16.96</v>
      </c>
      <c r="X9">
        <v>49.94</v>
      </c>
      <c r="Z9">
        <v>44.26</v>
      </c>
      <c r="AB9">
        <v>0</v>
      </c>
      <c r="AD9">
        <v>0</v>
      </c>
      <c r="AF9">
        <v>0</v>
      </c>
      <c r="AH9">
        <v>0</v>
      </c>
      <c r="AJ9">
        <v>0</v>
      </c>
      <c r="AL9">
        <v>17.09</v>
      </c>
    </row>
    <row r="10" spans="2:38" ht="15.75">
      <c r="B10" s="238" t="s">
        <v>287</v>
      </c>
      <c r="C10" s="238">
        <v>1347.66</v>
      </c>
      <c r="D10" s="238">
        <v>0</v>
      </c>
      <c r="E10" s="238">
        <f t="shared" si="3"/>
        <v>1347.66</v>
      </c>
      <c r="F10" s="238"/>
      <c r="G10" s="238">
        <v>42.98</v>
      </c>
      <c r="H10" s="217"/>
      <c r="I10" s="217">
        <v>986.05</v>
      </c>
      <c r="J10" s="222">
        <f t="shared" si="0"/>
        <v>42380.428999999996</v>
      </c>
      <c r="K10" s="217">
        <v>237.66</v>
      </c>
      <c r="L10" s="218">
        <f t="shared" si="4"/>
        <v>320284.87560000003</v>
      </c>
      <c r="M10" s="217"/>
      <c r="N10" s="251">
        <f t="shared" si="2"/>
        <v>320284.87560000003</v>
      </c>
      <c r="O10" s="217"/>
      <c r="P10">
        <v>14.89</v>
      </c>
      <c r="R10">
        <v>6.42</v>
      </c>
      <c r="T10">
        <v>14.77</v>
      </c>
      <c r="V10">
        <v>25.87</v>
      </c>
      <c r="X10">
        <v>24.82</v>
      </c>
      <c r="Z10">
        <v>0</v>
      </c>
      <c r="AB10">
        <v>0</v>
      </c>
      <c r="AD10">
        <v>0</v>
      </c>
      <c r="AF10">
        <v>0</v>
      </c>
      <c r="AH10">
        <v>0</v>
      </c>
      <c r="AJ10">
        <v>0</v>
      </c>
      <c r="AL10">
        <v>24.97</v>
      </c>
    </row>
    <row r="11" spans="2:38" ht="15.75">
      <c r="B11" s="238" t="s">
        <v>288</v>
      </c>
      <c r="C11" s="238">
        <v>1472.68</v>
      </c>
      <c r="D11" s="238">
        <v>0</v>
      </c>
      <c r="E11" s="238">
        <f t="shared" si="3"/>
        <v>1472.68</v>
      </c>
      <c r="F11" s="238"/>
      <c r="G11" s="238">
        <v>54.76</v>
      </c>
      <c r="H11" s="217"/>
      <c r="I11" s="217">
        <v>986.05</v>
      </c>
      <c r="J11" s="217">
        <f t="shared" si="0"/>
        <v>53996.097999999998</v>
      </c>
      <c r="K11" s="217">
        <v>237.66</v>
      </c>
      <c r="L11" s="218">
        <f t="shared" si="4"/>
        <v>349997.12880000001</v>
      </c>
      <c r="M11" s="217"/>
      <c r="N11" s="251">
        <f t="shared" si="2"/>
        <v>349997.12880000001</v>
      </c>
      <c r="O11" s="217"/>
      <c r="P11">
        <v>7.36</v>
      </c>
      <c r="R11">
        <v>3.75</v>
      </c>
      <c r="T11">
        <v>10.67</v>
      </c>
      <c r="V11">
        <v>14.64</v>
      </c>
      <c r="X11">
        <v>37.32</v>
      </c>
      <c r="Z11">
        <v>0</v>
      </c>
      <c r="AB11">
        <v>0</v>
      </c>
      <c r="AD11">
        <v>0</v>
      </c>
      <c r="AF11">
        <v>0</v>
      </c>
      <c r="AH11">
        <v>0</v>
      </c>
      <c r="AJ11">
        <v>0</v>
      </c>
      <c r="AL11">
        <v>12.19</v>
      </c>
    </row>
    <row r="12" spans="2:38" ht="15.75">
      <c r="B12" s="238" t="s">
        <v>289</v>
      </c>
      <c r="C12" s="238">
        <v>1377.94</v>
      </c>
      <c r="D12" s="238">
        <v>0</v>
      </c>
      <c r="E12" s="238">
        <f t="shared" si="3"/>
        <v>1377.94</v>
      </c>
      <c r="F12" s="238"/>
      <c r="G12" s="238">
        <v>37.25</v>
      </c>
      <c r="H12" s="217"/>
      <c r="I12" s="217">
        <v>986.05</v>
      </c>
      <c r="J12" s="217">
        <f t="shared" si="0"/>
        <v>36730.362499999996</v>
      </c>
      <c r="K12" s="217">
        <v>237.66</v>
      </c>
      <c r="L12" s="218">
        <f t="shared" si="4"/>
        <v>327481.22039999999</v>
      </c>
      <c r="M12" s="217"/>
      <c r="N12" s="251">
        <f t="shared" si="2"/>
        <v>327481.22039999999</v>
      </c>
      <c r="O12" s="217"/>
      <c r="P12">
        <v>5.92</v>
      </c>
      <c r="R12">
        <v>3.09</v>
      </c>
      <c r="T12">
        <v>14.73</v>
      </c>
      <c r="V12">
        <v>21.51</v>
      </c>
      <c r="X12">
        <v>32.659999999999997</v>
      </c>
      <c r="Z12">
        <v>0</v>
      </c>
      <c r="AB12">
        <v>0</v>
      </c>
      <c r="AD12">
        <v>0</v>
      </c>
      <c r="AF12">
        <v>0</v>
      </c>
      <c r="AH12">
        <v>0</v>
      </c>
      <c r="AJ12">
        <v>0</v>
      </c>
      <c r="AL12">
        <v>22.28</v>
      </c>
    </row>
    <row r="13" spans="2:38" ht="15.75">
      <c r="B13" s="238" t="s">
        <v>290</v>
      </c>
      <c r="C13" s="240">
        <v>1515.89</v>
      </c>
      <c r="D13" s="238">
        <v>0</v>
      </c>
      <c r="E13" s="238">
        <f t="shared" si="3"/>
        <v>1515.89</v>
      </c>
      <c r="F13" s="238"/>
      <c r="G13" s="238">
        <v>31.85</v>
      </c>
      <c r="H13" s="217"/>
      <c r="I13" s="217">
        <v>986.05</v>
      </c>
      <c r="J13" s="217">
        <f t="shared" si="0"/>
        <v>31405.692500000001</v>
      </c>
      <c r="K13" s="217">
        <v>237.66</v>
      </c>
      <c r="L13" s="218">
        <f t="shared" si="4"/>
        <v>360266.41740000003</v>
      </c>
      <c r="M13" s="219">
        <v>316874.45</v>
      </c>
      <c r="N13" s="218">
        <f t="shared" si="2"/>
        <v>360266.41740000003</v>
      </c>
      <c r="O13" s="217"/>
      <c r="P13">
        <v>6.91</v>
      </c>
      <c r="R13">
        <v>4.28</v>
      </c>
      <c r="T13">
        <v>10.88</v>
      </c>
      <c r="V13">
        <v>29.01</v>
      </c>
      <c r="X13">
        <v>36.49</v>
      </c>
      <c r="Z13">
        <v>0</v>
      </c>
      <c r="AB13">
        <v>0</v>
      </c>
      <c r="AD13">
        <v>0</v>
      </c>
      <c r="AF13">
        <v>0</v>
      </c>
      <c r="AH13">
        <v>0</v>
      </c>
      <c r="AJ13">
        <v>0</v>
      </c>
      <c r="AL13">
        <v>11.95</v>
      </c>
    </row>
    <row r="14" spans="2:38" ht="15.75">
      <c r="B14" s="238" t="s">
        <v>291</v>
      </c>
      <c r="C14" s="238">
        <v>1514.57</v>
      </c>
      <c r="D14" s="238">
        <v>0</v>
      </c>
      <c r="E14" s="238">
        <f t="shared" si="3"/>
        <v>1514.57</v>
      </c>
      <c r="F14" s="238"/>
      <c r="G14" s="238">
        <v>27.16</v>
      </c>
      <c r="H14" s="217"/>
      <c r="I14" s="217">
        <v>986.05</v>
      </c>
      <c r="J14" s="218"/>
      <c r="K14" s="217">
        <v>237.66</v>
      </c>
      <c r="L14" s="218">
        <f t="shared" si="4"/>
        <v>359952.70619999996</v>
      </c>
      <c r="M14" s="217"/>
      <c r="N14" s="251">
        <f t="shared" si="2"/>
        <v>359952.70619999996</v>
      </c>
      <c r="O14" s="217"/>
      <c r="P14">
        <v>6.62</v>
      </c>
      <c r="R14">
        <v>9.65</v>
      </c>
      <c r="T14">
        <v>20.32</v>
      </c>
      <c r="V14">
        <v>28.41</v>
      </c>
      <c r="X14">
        <v>37.909999999999997</v>
      </c>
      <c r="Z14">
        <v>0</v>
      </c>
      <c r="AB14">
        <v>0</v>
      </c>
      <c r="AD14">
        <v>0</v>
      </c>
      <c r="AF14">
        <v>0</v>
      </c>
      <c r="AH14">
        <v>0</v>
      </c>
      <c r="AJ14">
        <v>0</v>
      </c>
      <c r="AL14">
        <v>10.98</v>
      </c>
    </row>
    <row r="15" spans="2:38" ht="15.75">
      <c r="B15" s="238" t="s">
        <v>292</v>
      </c>
      <c r="C15" s="238">
        <v>1590.11</v>
      </c>
      <c r="D15" s="238">
        <v>0</v>
      </c>
      <c r="E15" s="238">
        <f t="shared" si="3"/>
        <v>1590.11</v>
      </c>
      <c r="F15" s="238"/>
      <c r="G15" s="238">
        <v>35.909999999999997</v>
      </c>
      <c r="H15" s="217"/>
      <c r="I15" s="217">
        <v>986.05</v>
      </c>
      <c r="J15" s="217" t="s">
        <v>225</v>
      </c>
      <c r="K15" s="217">
        <v>237.66</v>
      </c>
      <c r="L15" s="218">
        <f t="shared" si="4"/>
        <v>377905.54259999999</v>
      </c>
      <c r="M15" s="217"/>
      <c r="N15" s="251">
        <f t="shared" si="2"/>
        <v>377905.54259999999</v>
      </c>
      <c r="O15" s="217"/>
      <c r="P15">
        <v>3.56</v>
      </c>
      <c r="R15">
        <v>8.16</v>
      </c>
      <c r="T15">
        <v>24.89</v>
      </c>
      <c r="V15">
        <v>6.56</v>
      </c>
      <c r="X15">
        <v>52.69</v>
      </c>
      <c r="Z15">
        <v>0</v>
      </c>
      <c r="AB15">
        <v>0</v>
      </c>
      <c r="AD15">
        <v>0</v>
      </c>
      <c r="AF15">
        <v>0</v>
      </c>
      <c r="AH15">
        <v>0</v>
      </c>
      <c r="AJ15">
        <v>0</v>
      </c>
      <c r="AL15">
        <v>11.94</v>
      </c>
    </row>
    <row r="16" spans="2:38" ht="15.75">
      <c r="B16" s="238" t="s">
        <v>293</v>
      </c>
      <c r="C16" s="240">
        <v>2403.29</v>
      </c>
      <c r="D16" s="240">
        <f>T33</f>
        <v>1482.77</v>
      </c>
      <c r="E16" s="238">
        <f>C16-D16</f>
        <v>920.52</v>
      </c>
      <c r="F16" s="238"/>
      <c r="G16" s="238">
        <v>69.709999999999994</v>
      </c>
      <c r="H16" s="217"/>
      <c r="I16" s="217">
        <v>986.05</v>
      </c>
      <c r="J16" s="217">
        <f t="shared" si="0"/>
        <v>68737.545499999993</v>
      </c>
      <c r="K16" s="217">
        <v>311.3</v>
      </c>
      <c r="L16" s="251">
        <f t="shared" si="1"/>
        <v>461586.30100000004</v>
      </c>
      <c r="M16" s="251">
        <f>E16*K15</f>
        <v>218770.78320000001</v>
      </c>
      <c r="N16" s="218">
        <f>L16+M16</f>
        <v>680357.08420000004</v>
      </c>
      <c r="O16" s="217"/>
      <c r="P16">
        <v>2.88</v>
      </c>
      <c r="R16">
        <v>12.67</v>
      </c>
      <c r="T16">
        <v>14.94</v>
      </c>
      <c r="V16">
        <v>21.29</v>
      </c>
      <c r="X16">
        <v>25.69</v>
      </c>
      <c r="Z16">
        <v>0</v>
      </c>
      <c r="AB16">
        <v>0</v>
      </c>
      <c r="AD16">
        <v>0</v>
      </c>
      <c r="AF16">
        <v>0</v>
      </c>
      <c r="AH16">
        <v>0</v>
      </c>
      <c r="AJ16">
        <v>0</v>
      </c>
      <c r="AL16">
        <v>11.92</v>
      </c>
    </row>
    <row r="17" spans="2:41" ht="15.75">
      <c r="B17" s="238"/>
      <c r="C17" s="238"/>
      <c r="D17" s="238"/>
      <c r="E17" s="238"/>
      <c r="F17" s="238"/>
      <c r="G17" s="240">
        <f>SUM(G5:G16)</f>
        <v>522.48</v>
      </c>
      <c r="H17" s="219"/>
      <c r="I17" s="219"/>
      <c r="J17" s="251">
        <f>SUM(J5:J16)</f>
        <v>415767.98249999998</v>
      </c>
      <c r="K17" s="219"/>
      <c r="L17" s="217"/>
      <c r="M17" s="217"/>
      <c r="N17" s="217"/>
      <c r="O17" s="217"/>
      <c r="P17">
        <v>6.02</v>
      </c>
      <c r="R17">
        <v>9.99</v>
      </c>
      <c r="T17">
        <v>16.190000000000001</v>
      </c>
      <c r="V17">
        <v>25.09</v>
      </c>
      <c r="X17">
        <v>45.79</v>
      </c>
      <c r="Z17">
        <v>0</v>
      </c>
      <c r="AB17">
        <v>0</v>
      </c>
      <c r="AD17">
        <v>0</v>
      </c>
      <c r="AF17">
        <v>0</v>
      </c>
      <c r="AH17">
        <v>0</v>
      </c>
      <c r="AJ17">
        <v>0</v>
      </c>
      <c r="AL17">
        <v>13.17</v>
      </c>
    </row>
    <row r="18" spans="2:41" ht="15.75">
      <c r="B18" s="238" t="s">
        <v>298</v>
      </c>
      <c r="C18" s="292">
        <f>SUM(C5:C16)</f>
        <v>21347.06</v>
      </c>
      <c r="D18" s="294">
        <f>SUM(D5:D16)</f>
        <v>6636.4</v>
      </c>
      <c r="E18" s="292">
        <f>SUM(E5:E16)</f>
        <v>14710.66</v>
      </c>
      <c r="F18" s="239"/>
      <c r="G18" s="239"/>
      <c r="M18" s="251">
        <f>(N5+N6+L7+M7+N8+N9+N10+N11+N12+M13+N14+N15+L16+M16)</f>
        <v>5518654.8082000008</v>
      </c>
      <c r="N18" s="222">
        <f>SUM(N5:N16)</f>
        <v>5562046.7756000012</v>
      </c>
      <c r="O18" s="252"/>
      <c r="P18">
        <v>3.87</v>
      </c>
      <c r="R18">
        <v>12.06</v>
      </c>
      <c r="T18">
        <v>12.53</v>
      </c>
      <c r="V18">
        <v>24.41</v>
      </c>
      <c r="X18">
        <v>39.880000000000003</v>
      </c>
      <c r="Z18">
        <v>0</v>
      </c>
      <c r="AB18">
        <v>0</v>
      </c>
      <c r="AD18">
        <v>0</v>
      </c>
      <c r="AF18">
        <v>0</v>
      </c>
      <c r="AH18">
        <v>0</v>
      </c>
      <c r="AJ18">
        <v>0</v>
      </c>
      <c r="AL18">
        <v>13.97</v>
      </c>
    </row>
    <row r="19" spans="2:41">
      <c r="B19" s="239"/>
      <c r="C19" s="239" t="s">
        <v>301</v>
      </c>
      <c r="D19" s="239"/>
      <c r="E19" s="239"/>
      <c r="F19" s="239"/>
      <c r="G19" s="239"/>
      <c r="O19" s="252"/>
      <c r="P19">
        <v>10.31</v>
      </c>
      <c r="R19">
        <v>4.28</v>
      </c>
      <c r="T19">
        <v>16.93</v>
      </c>
      <c r="V19">
        <v>30.97</v>
      </c>
      <c r="X19">
        <v>37.79</v>
      </c>
      <c r="Z19">
        <v>0</v>
      </c>
      <c r="AB19">
        <v>0</v>
      </c>
      <c r="AD19">
        <v>0</v>
      </c>
      <c r="AF19">
        <v>0</v>
      </c>
      <c r="AH19">
        <v>0</v>
      </c>
      <c r="AJ19">
        <v>0</v>
      </c>
      <c r="AL19">
        <v>11.54</v>
      </c>
    </row>
    <row r="20" spans="2:41" ht="15.75">
      <c r="B20" s="239"/>
      <c r="C20" s="239"/>
      <c r="D20" s="239"/>
      <c r="E20" s="239"/>
      <c r="F20" s="239"/>
      <c r="G20" s="239"/>
      <c r="M20" s="251">
        <f>J17+M18</f>
        <v>5934422.7907000007</v>
      </c>
      <c r="N20" s="218">
        <f>N18+K24</f>
        <v>6077238.1796000013</v>
      </c>
      <c r="O20" s="252" t="s">
        <v>298</v>
      </c>
      <c r="P20">
        <v>6.85</v>
      </c>
      <c r="R20">
        <v>6.79</v>
      </c>
      <c r="T20">
        <v>20.83</v>
      </c>
      <c r="V20">
        <v>11.57</v>
      </c>
      <c r="X20">
        <v>38.32</v>
      </c>
      <c r="Z20">
        <v>0</v>
      </c>
      <c r="AB20">
        <v>0</v>
      </c>
      <c r="AD20">
        <v>0</v>
      </c>
      <c r="AF20">
        <v>0</v>
      </c>
      <c r="AH20">
        <v>0</v>
      </c>
      <c r="AJ20">
        <v>0</v>
      </c>
      <c r="AL20">
        <v>10.87</v>
      </c>
    </row>
    <row r="21" spans="2:41" ht="15.75">
      <c r="B21" s="238" t="s">
        <v>299</v>
      </c>
      <c r="C21" s="294">
        <f>C18+G17</f>
        <v>21869.54</v>
      </c>
      <c r="D21" s="239" t="s">
        <v>300</v>
      </c>
      <c r="E21" s="239"/>
      <c r="F21" s="239"/>
      <c r="G21" s="239"/>
      <c r="P21">
        <v>7.46</v>
      </c>
      <c r="R21">
        <v>5.63</v>
      </c>
      <c r="T21">
        <v>25.8</v>
      </c>
      <c r="V21">
        <v>28.59</v>
      </c>
      <c r="X21">
        <v>18.760000000000002</v>
      </c>
      <c r="Z21">
        <v>0</v>
      </c>
      <c r="AB21">
        <v>0</v>
      </c>
      <c r="AD21">
        <v>0</v>
      </c>
      <c r="AF21">
        <v>0</v>
      </c>
      <c r="AH21">
        <v>0</v>
      </c>
      <c r="AJ21">
        <v>0</v>
      </c>
      <c r="AL21">
        <v>11.34</v>
      </c>
      <c r="AO21" s="305"/>
    </row>
    <row r="22" spans="2:41">
      <c r="B22" s="239"/>
      <c r="C22" s="239"/>
      <c r="D22" s="239"/>
      <c r="E22" s="239"/>
      <c r="F22" s="239"/>
      <c r="G22" s="239"/>
      <c r="N22" s="253">
        <f>N24-N20</f>
        <v>-187164.51560000051</v>
      </c>
      <c r="O22" s="220" t="s">
        <v>331</v>
      </c>
      <c r="P22">
        <v>5.41</v>
      </c>
      <c r="R22">
        <v>8.4</v>
      </c>
      <c r="T22">
        <v>22.59</v>
      </c>
      <c r="V22">
        <v>38.299999999999997</v>
      </c>
      <c r="X22">
        <v>38.520000000000003</v>
      </c>
      <c r="Z22">
        <v>0</v>
      </c>
      <c r="AB22">
        <v>0</v>
      </c>
      <c r="AD22">
        <v>0</v>
      </c>
      <c r="AF22">
        <v>0</v>
      </c>
      <c r="AH22">
        <v>0</v>
      </c>
      <c r="AJ22">
        <v>0</v>
      </c>
      <c r="AL22">
        <v>11.89</v>
      </c>
    </row>
    <row r="23" spans="2:41" ht="15">
      <c r="B23" s="239" t="s">
        <v>363</v>
      </c>
      <c r="C23" s="239">
        <v>12</v>
      </c>
      <c r="D23" s="239">
        <v>2.5</v>
      </c>
      <c r="E23" s="239">
        <v>9.5</v>
      </c>
      <c r="F23" s="239"/>
      <c r="G23" s="238">
        <v>12</v>
      </c>
      <c r="H23" s="217"/>
      <c r="I23" s="217"/>
      <c r="J23" s="217"/>
      <c r="K23" s="217" t="s">
        <v>276</v>
      </c>
      <c r="P23">
        <v>7.65</v>
      </c>
      <c r="R23">
        <v>10.97</v>
      </c>
      <c r="T23">
        <v>15.61</v>
      </c>
      <c r="V23">
        <v>40.869999999999997</v>
      </c>
      <c r="X23">
        <v>30.13</v>
      </c>
      <c r="Z23">
        <v>0</v>
      </c>
      <c r="AB23">
        <v>0</v>
      </c>
      <c r="AD23">
        <v>0</v>
      </c>
      <c r="AF23">
        <v>0</v>
      </c>
      <c r="AH23">
        <v>0</v>
      </c>
      <c r="AJ23">
        <v>0</v>
      </c>
      <c r="AL23">
        <v>25.29</v>
      </c>
    </row>
    <row r="24" spans="2:41" ht="15.75">
      <c r="B24" s="239" t="s">
        <v>307</v>
      </c>
      <c r="C24" s="302">
        <f>C18/12</f>
        <v>1778.9216666666669</v>
      </c>
      <c r="D24" s="317">
        <f>D18/2.5</f>
        <v>2654.56</v>
      </c>
      <c r="E24" s="317">
        <f>E18/9.5</f>
        <v>1548.4905263157896</v>
      </c>
      <c r="F24" s="239"/>
      <c r="G24" s="318">
        <f>G17/12</f>
        <v>43.54</v>
      </c>
      <c r="H24" s="217"/>
      <c r="I24" s="217"/>
      <c r="J24" s="217">
        <v>986.05</v>
      </c>
      <c r="K24" s="251">
        <f>(G23*G24)*J24</f>
        <v>515191.40399999998</v>
      </c>
      <c r="L24" s="250" t="s">
        <v>328</v>
      </c>
      <c r="N24" s="251">
        <f>K24+K28+K31</f>
        <v>5890073.6640000008</v>
      </c>
      <c r="O24" s="221" t="s">
        <v>328</v>
      </c>
      <c r="P24">
        <v>10.95</v>
      </c>
      <c r="R24">
        <v>11.71</v>
      </c>
      <c r="T24">
        <v>22.83</v>
      </c>
      <c r="V24">
        <v>35.58</v>
      </c>
      <c r="X24">
        <v>37.26</v>
      </c>
      <c r="Z24">
        <v>0</v>
      </c>
      <c r="AB24">
        <v>0</v>
      </c>
      <c r="AD24">
        <v>0</v>
      </c>
      <c r="AF24">
        <v>0</v>
      </c>
      <c r="AH24">
        <v>0</v>
      </c>
      <c r="AJ24">
        <v>0</v>
      </c>
      <c r="AL24">
        <v>13.88</v>
      </c>
    </row>
    <row r="25" spans="2:41">
      <c r="B25" s="239"/>
      <c r="C25" s="239"/>
      <c r="D25" s="239"/>
      <c r="E25" s="239"/>
      <c r="F25" s="239"/>
      <c r="G25" s="239"/>
      <c r="K25" t="s">
        <v>328</v>
      </c>
      <c r="L25" s="189"/>
      <c r="P25">
        <v>8.5</v>
      </c>
      <c r="R25">
        <v>11.42</v>
      </c>
      <c r="T25">
        <v>19.579999999999998</v>
      </c>
      <c r="V25">
        <v>36.229999999999997</v>
      </c>
      <c r="X25">
        <v>38.68</v>
      </c>
      <c r="Z25">
        <v>0</v>
      </c>
      <c r="AB25">
        <v>0</v>
      </c>
      <c r="AD25">
        <v>0</v>
      </c>
      <c r="AF25">
        <v>0</v>
      </c>
      <c r="AH25">
        <v>0</v>
      </c>
      <c r="AJ25">
        <v>0</v>
      </c>
      <c r="AL25">
        <v>10.94</v>
      </c>
    </row>
    <row r="26" spans="2:41">
      <c r="L26" s="189"/>
      <c r="P26">
        <v>7.74</v>
      </c>
      <c r="R26">
        <v>10.83</v>
      </c>
      <c r="T26">
        <v>16.690000000000001</v>
      </c>
      <c r="V26">
        <v>43.5</v>
      </c>
      <c r="X26">
        <v>48.94</v>
      </c>
      <c r="Z26">
        <v>0</v>
      </c>
      <c r="AB26">
        <v>0</v>
      </c>
      <c r="AD26">
        <v>0</v>
      </c>
      <c r="AF26">
        <v>0</v>
      </c>
      <c r="AH26">
        <v>0</v>
      </c>
      <c r="AJ26">
        <v>0</v>
      </c>
      <c r="AL26">
        <v>11.49</v>
      </c>
    </row>
    <row r="27" spans="2:41" ht="15">
      <c r="K27" s="217" t="s">
        <v>329</v>
      </c>
      <c r="L27" s="189"/>
      <c r="P27">
        <v>5.74</v>
      </c>
      <c r="R27">
        <v>4.84</v>
      </c>
      <c r="T27">
        <v>17.68</v>
      </c>
      <c r="V27">
        <v>36.32</v>
      </c>
      <c r="X27">
        <v>40.78</v>
      </c>
      <c r="Z27">
        <v>0</v>
      </c>
      <c r="AB27">
        <v>0</v>
      </c>
      <c r="AD27">
        <v>0</v>
      </c>
      <c r="AF27">
        <v>0</v>
      </c>
      <c r="AH27">
        <v>0</v>
      </c>
      <c r="AJ27">
        <v>0</v>
      </c>
      <c r="AL27">
        <v>11.89</v>
      </c>
    </row>
    <row r="28" spans="2:41" ht="15.75">
      <c r="D28">
        <f>D23*D24</f>
        <v>6636.4</v>
      </c>
      <c r="E28">
        <f>E23*E24</f>
        <v>14710.660000000002</v>
      </c>
      <c r="K28" s="219">
        <v>3012675.6</v>
      </c>
      <c r="L28" s="250" t="s">
        <v>328</v>
      </c>
      <c r="P28">
        <v>5.0199999999999996</v>
      </c>
      <c r="R28">
        <v>4.8899999999999997</v>
      </c>
      <c r="T28">
        <v>27.65</v>
      </c>
      <c r="V28">
        <v>27.66</v>
      </c>
      <c r="X28">
        <v>53.79</v>
      </c>
      <c r="Z28">
        <v>0</v>
      </c>
      <c r="AB28">
        <v>0</v>
      </c>
      <c r="AD28">
        <v>0</v>
      </c>
      <c r="AF28">
        <v>0</v>
      </c>
      <c r="AH28">
        <v>0</v>
      </c>
      <c r="AJ28">
        <v>0</v>
      </c>
      <c r="AL28">
        <v>11.91</v>
      </c>
    </row>
    <row r="29" spans="2:41" ht="15">
      <c r="K29" s="217"/>
      <c r="L29" s="189"/>
      <c r="P29">
        <v>4.87</v>
      </c>
      <c r="R29">
        <v>9.41</v>
      </c>
      <c r="T29">
        <v>24.19</v>
      </c>
      <c r="V29">
        <v>9.59</v>
      </c>
      <c r="X29">
        <v>37.020000000000003</v>
      </c>
      <c r="Z29">
        <v>0</v>
      </c>
      <c r="AB29">
        <v>0</v>
      </c>
      <c r="AD29">
        <v>0</v>
      </c>
      <c r="AF29">
        <v>0</v>
      </c>
      <c r="AH29">
        <v>0</v>
      </c>
      <c r="AJ29">
        <v>0</v>
      </c>
      <c r="AL29">
        <v>11.84</v>
      </c>
    </row>
    <row r="30" spans="2:41" ht="15">
      <c r="K30" s="217" t="s">
        <v>330</v>
      </c>
      <c r="L30" s="189"/>
      <c r="P30">
        <v>3.59</v>
      </c>
      <c r="R30">
        <v>13.62</v>
      </c>
      <c r="T30">
        <v>27.26</v>
      </c>
      <c r="V30">
        <v>0</v>
      </c>
      <c r="X30">
        <v>48.44</v>
      </c>
      <c r="AD30">
        <v>0</v>
      </c>
      <c r="AF30">
        <v>0</v>
      </c>
      <c r="AH30">
        <v>0</v>
      </c>
      <c r="AJ30">
        <v>0</v>
      </c>
    </row>
    <row r="31" spans="2:41" ht="15.75">
      <c r="K31" s="219">
        <v>2362206.66</v>
      </c>
      <c r="L31" s="250" t="s">
        <v>328</v>
      </c>
      <c r="P31" s="220">
        <f>SUM(P6:P30)</f>
        <v>182.65000000000003</v>
      </c>
      <c r="R31" s="220">
        <f>SUM(R6:R30)</f>
        <v>221.76</v>
      </c>
      <c r="T31" s="220">
        <f>SUM(T6:T30)</f>
        <v>456.84</v>
      </c>
      <c r="V31" s="220">
        <f>SUM(V6:V30)</f>
        <v>621.5200000000001</v>
      </c>
      <c r="X31" s="220">
        <f>SUM(X6:X30)</f>
        <v>964.13999999999987</v>
      </c>
      <c r="Z31" s="220">
        <f>SUM(Z6:Z29)</f>
        <v>158.29</v>
      </c>
      <c r="AB31" s="220">
        <f>SUM(AB6:AB29)</f>
        <v>0</v>
      </c>
      <c r="AD31" s="220">
        <f>SUM(AD6:AD30)</f>
        <v>0</v>
      </c>
      <c r="AF31" s="220">
        <f>SUM(AF6:AF30)</f>
        <v>0</v>
      </c>
      <c r="AH31" s="220">
        <f>SUM(AH6:AH30)</f>
        <v>0</v>
      </c>
      <c r="AJ31" s="220">
        <f>SUM(AJ6:AJ30)</f>
        <v>0</v>
      </c>
      <c r="AL31" s="220">
        <f>SUM(AL6:AL29)</f>
        <v>340.89</v>
      </c>
    </row>
    <row r="32" spans="2:41" ht="15">
      <c r="K32" s="217"/>
    </row>
    <row r="33" spans="16:26">
      <c r="R33" t="s">
        <v>298</v>
      </c>
      <c r="T33" s="221">
        <f>(P31+R31+T31+V31)</f>
        <v>1482.77</v>
      </c>
      <c r="X33" t="s">
        <v>298</v>
      </c>
      <c r="Z33" s="221">
        <f>(X31+Z31)</f>
        <v>1122.4299999999998</v>
      </c>
    </row>
    <row r="34" spans="16:26">
      <c r="P34" s="220"/>
    </row>
  </sheetData>
  <mergeCells count="2">
    <mergeCell ref="P5:V5"/>
    <mergeCell ref="X5:AD5"/>
  </mergeCells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872D-1FE5-4A40-8D88-11FE11780B9D}">
  <sheetPr>
    <pageSetUpPr fitToPage="1"/>
  </sheetPr>
  <dimension ref="A3:N42"/>
  <sheetViews>
    <sheetView topLeftCell="A18" workbookViewId="0">
      <selection sqref="A1:F20"/>
    </sheetView>
  </sheetViews>
  <sheetFormatPr defaultRowHeight="12.75"/>
  <cols>
    <col min="1" max="1" width="12" customWidth="1"/>
    <col min="2" max="2" width="21.140625" customWidth="1"/>
    <col min="3" max="3" width="22" customWidth="1"/>
    <col min="4" max="4" width="25.42578125" customWidth="1"/>
    <col min="5" max="8" width="15.28515625" bestFit="1" customWidth="1"/>
    <col min="10" max="10" width="0" hidden="1" customWidth="1"/>
    <col min="11" max="11" width="18.5703125" hidden="1" customWidth="1"/>
    <col min="12" max="12" width="0" hidden="1" customWidth="1"/>
    <col min="13" max="13" width="4" hidden="1" customWidth="1"/>
    <col min="14" max="19" width="0" hidden="1" customWidth="1"/>
  </cols>
  <sheetData>
    <row r="3" spans="1:14" ht="57.75" customHeight="1"/>
    <row r="4" spans="1:14" ht="15.75">
      <c r="A4" s="346" t="s">
        <v>308</v>
      </c>
      <c r="B4" s="347"/>
      <c r="C4" s="347"/>
      <c r="D4" s="347"/>
      <c r="E4" s="347"/>
      <c r="F4" s="347"/>
      <c r="G4" s="347"/>
      <c r="H4" s="348"/>
    </row>
    <row r="6" spans="1:14" ht="15">
      <c r="A6" s="238" t="s">
        <v>309</v>
      </c>
      <c r="B6" s="238" t="s">
        <v>325</v>
      </c>
      <c r="C6" s="238" t="s">
        <v>326</v>
      </c>
      <c r="D6" s="238" t="s">
        <v>326</v>
      </c>
      <c r="E6" s="238" t="s">
        <v>325</v>
      </c>
      <c r="F6" s="238" t="s">
        <v>325</v>
      </c>
      <c r="G6" s="238" t="s">
        <v>325</v>
      </c>
      <c r="H6" s="238" t="s">
        <v>325</v>
      </c>
      <c r="N6">
        <v>24</v>
      </c>
    </row>
    <row r="7" spans="1:14" ht="15.75">
      <c r="A7" s="288" t="s">
        <v>324</v>
      </c>
      <c r="B7" s="289">
        <v>2019</v>
      </c>
      <c r="C7" s="289">
        <v>2020</v>
      </c>
      <c r="D7" s="289">
        <v>2021</v>
      </c>
      <c r="E7" s="289">
        <v>2022</v>
      </c>
      <c r="F7" s="289">
        <v>2023</v>
      </c>
      <c r="G7" s="289">
        <v>2024</v>
      </c>
      <c r="H7" s="289">
        <v>2025</v>
      </c>
      <c r="L7" s="245">
        <v>2582.04</v>
      </c>
      <c r="N7" s="247">
        <f>G8-L7</f>
        <v>105.76000000000022</v>
      </c>
    </row>
    <row r="8" spans="1:14" ht="15">
      <c r="A8" s="238" t="s">
        <v>310</v>
      </c>
      <c r="B8" s="242">
        <v>2630.82</v>
      </c>
      <c r="C8" s="242">
        <v>2585.36</v>
      </c>
      <c r="D8" s="242">
        <v>2434.69</v>
      </c>
      <c r="E8" s="242">
        <v>2456.38</v>
      </c>
      <c r="F8" s="242">
        <v>2488.96</v>
      </c>
      <c r="G8" s="243">
        <v>2687.8</v>
      </c>
      <c r="H8" s="242">
        <v>2960.4</v>
      </c>
      <c r="J8">
        <f>H8/56430</f>
        <v>5.2461456671982987E-2</v>
      </c>
      <c r="K8">
        <f>SUM(F10:F18)</f>
        <v>11687.3</v>
      </c>
      <c r="L8" s="245">
        <v>2016.58</v>
      </c>
      <c r="N8" s="247">
        <f t="shared" ref="N8:N15" si="0">G9-L8</f>
        <v>162.7800000000002</v>
      </c>
    </row>
    <row r="9" spans="1:14" ht="15">
      <c r="A9" s="238" t="s">
        <v>311</v>
      </c>
      <c r="B9" s="242">
        <v>1872.09</v>
      </c>
      <c r="C9" s="242">
        <v>2063.46</v>
      </c>
      <c r="D9" s="242">
        <v>1929.93</v>
      </c>
      <c r="E9" s="242">
        <v>1756.84</v>
      </c>
      <c r="F9" s="242">
        <v>1921.66</v>
      </c>
      <c r="G9" s="242">
        <v>2179.36</v>
      </c>
      <c r="H9" s="242">
        <v>2193.23</v>
      </c>
      <c r="J9">
        <f>H9/56430</f>
        <v>3.8866383129541021E-2</v>
      </c>
      <c r="K9">
        <f>K8/9</f>
        <v>1298.5888888888887</v>
      </c>
      <c r="L9" s="245">
        <v>1534.68</v>
      </c>
      <c r="N9" s="247">
        <f t="shared" si="0"/>
        <v>37.779999999999973</v>
      </c>
    </row>
    <row r="10" spans="1:14" ht="15">
      <c r="A10" s="238" t="s">
        <v>312</v>
      </c>
      <c r="B10" s="242">
        <v>1491.73</v>
      </c>
      <c r="C10" s="242">
        <v>1394.66</v>
      </c>
      <c r="D10" s="242">
        <v>1505.54</v>
      </c>
      <c r="E10" s="242">
        <v>1521.78</v>
      </c>
      <c r="F10" s="242">
        <v>1464.4</v>
      </c>
      <c r="G10" s="242">
        <v>1572.46</v>
      </c>
      <c r="H10" s="242">
        <v>1945.37</v>
      </c>
      <c r="J10">
        <f>G10/56430</f>
        <v>2.786567428672692E-2</v>
      </c>
      <c r="L10" s="246">
        <v>1364.82</v>
      </c>
      <c r="N10" s="247">
        <f t="shared" si="0"/>
        <v>36.560000000000173</v>
      </c>
    </row>
    <row r="11" spans="1:14" ht="15">
      <c r="A11" s="238" t="s">
        <v>313</v>
      </c>
      <c r="B11" s="242">
        <v>1210.8699999999999</v>
      </c>
      <c r="C11" s="242">
        <v>1216.24</v>
      </c>
      <c r="D11" s="242">
        <v>1329.75</v>
      </c>
      <c r="E11" s="242">
        <v>1269.9100000000001</v>
      </c>
      <c r="F11" s="242">
        <v>1270.71</v>
      </c>
      <c r="G11" s="242">
        <v>1401.38</v>
      </c>
      <c r="H11" s="242">
        <v>1584.26</v>
      </c>
      <c r="J11">
        <f t="shared" ref="J11:J19" si="1">G11/56430</f>
        <v>2.4833953570795677E-2</v>
      </c>
      <c r="L11" s="246">
        <v>1484.38</v>
      </c>
      <c r="N11" s="247">
        <f t="shared" si="0"/>
        <v>27.829999999999927</v>
      </c>
    </row>
    <row r="12" spans="1:14" ht="15">
      <c r="A12" s="238" t="s">
        <v>314</v>
      </c>
      <c r="B12" s="242">
        <v>1126.92</v>
      </c>
      <c r="C12" s="242">
        <v>1153.77</v>
      </c>
      <c r="D12" s="242">
        <v>1199.1300000000001</v>
      </c>
      <c r="E12" s="242">
        <v>1126.47</v>
      </c>
      <c r="F12" s="242">
        <v>1270.71</v>
      </c>
      <c r="G12" s="242">
        <v>1512.21</v>
      </c>
      <c r="H12" s="242">
        <v>1441.66</v>
      </c>
      <c r="J12">
        <f t="shared" si="1"/>
        <v>2.67979797979798E-2</v>
      </c>
      <c r="L12" s="246">
        <v>1419.92</v>
      </c>
      <c r="N12" s="247">
        <f t="shared" si="0"/>
        <v>22.289999999999964</v>
      </c>
    </row>
    <row r="13" spans="1:14" ht="15">
      <c r="A13" s="238" t="s">
        <v>315</v>
      </c>
      <c r="B13" s="242">
        <v>1134.1500000000001</v>
      </c>
      <c r="C13" s="242">
        <v>1220.54</v>
      </c>
      <c r="D13" s="242">
        <v>1159.8699999999999</v>
      </c>
      <c r="E13" s="242">
        <v>1144.26</v>
      </c>
      <c r="F13" s="242">
        <v>1185.68</v>
      </c>
      <c r="G13" s="242">
        <v>1442.21</v>
      </c>
      <c r="H13" s="242">
        <v>1347.66</v>
      </c>
      <c r="J13">
        <f t="shared" si="1"/>
        <v>2.5557504873294348E-2</v>
      </c>
      <c r="L13" s="246">
        <v>1395.57</v>
      </c>
      <c r="N13" s="247">
        <f t="shared" si="0"/>
        <v>96.509999999999991</v>
      </c>
    </row>
    <row r="14" spans="1:14" ht="15">
      <c r="A14" s="238" t="s">
        <v>316</v>
      </c>
      <c r="B14" s="242">
        <v>1119.3</v>
      </c>
      <c r="C14" s="242">
        <v>1278.8699999999999</v>
      </c>
      <c r="D14" s="242">
        <v>1247.75</v>
      </c>
      <c r="E14" s="242">
        <v>1210.31</v>
      </c>
      <c r="F14" s="242">
        <v>1276.27</v>
      </c>
      <c r="G14" s="242">
        <v>1492.08</v>
      </c>
      <c r="H14" s="242">
        <v>1472.68</v>
      </c>
      <c r="L14" s="246">
        <v>1331.63</v>
      </c>
      <c r="N14" s="247">
        <f t="shared" si="0"/>
        <v>30.189999999999827</v>
      </c>
    </row>
    <row r="15" spans="1:14" ht="15">
      <c r="A15" s="238" t="s">
        <v>317</v>
      </c>
      <c r="B15" s="242">
        <v>1028.9100000000001</v>
      </c>
      <c r="C15" s="242">
        <v>1245.8399999999999</v>
      </c>
      <c r="D15" s="242">
        <v>1202.1300000000001</v>
      </c>
      <c r="E15" s="242">
        <v>1253.99</v>
      </c>
      <c r="F15" s="242">
        <v>1243.5899999999999</v>
      </c>
      <c r="G15" s="242">
        <v>1361.82</v>
      </c>
      <c r="H15" s="242">
        <v>1377.94</v>
      </c>
      <c r="J15">
        <f t="shared" si="1"/>
        <v>2.4132908027644867E-2</v>
      </c>
      <c r="L15" s="246">
        <v>1388.12</v>
      </c>
      <c r="N15" s="247">
        <f t="shared" si="0"/>
        <v>26.580000000000155</v>
      </c>
    </row>
    <row r="16" spans="1:14" ht="15">
      <c r="A16" s="238" t="s">
        <v>318</v>
      </c>
      <c r="B16" s="242">
        <v>1078.1300000000001</v>
      </c>
      <c r="C16" s="242">
        <v>1287.8800000000001</v>
      </c>
      <c r="D16" s="242">
        <v>1331.95</v>
      </c>
      <c r="E16" s="242">
        <v>1159.74</v>
      </c>
      <c r="F16" s="242">
        <v>1220.21</v>
      </c>
      <c r="G16" s="243">
        <v>1414.7</v>
      </c>
      <c r="H16" s="243">
        <v>1515.89</v>
      </c>
      <c r="J16">
        <f t="shared" si="1"/>
        <v>2.5069998227892965E-2</v>
      </c>
    </row>
    <row r="17" spans="1:14" ht="15">
      <c r="A17" s="238" t="s">
        <v>319</v>
      </c>
      <c r="B17" s="242">
        <v>1215.48</v>
      </c>
      <c r="C17" s="242">
        <v>1473.36</v>
      </c>
      <c r="D17" s="243">
        <v>1261.5999999999999</v>
      </c>
      <c r="E17" s="242">
        <v>1232.0899999999999</v>
      </c>
      <c r="F17" s="242">
        <v>1375.1</v>
      </c>
      <c r="G17" s="242">
        <v>1566.54</v>
      </c>
      <c r="H17" s="242">
        <v>1514.57</v>
      </c>
      <c r="J17">
        <f t="shared" si="1"/>
        <v>2.7760765550239232E-2</v>
      </c>
    </row>
    <row r="18" spans="1:14" ht="15">
      <c r="A18" s="238" t="s">
        <v>320</v>
      </c>
      <c r="B18" s="242">
        <v>1280.29</v>
      </c>
      <c r="C18" s="243">
        <v>1445.2</v>
      </c>
      <c r="D18" s="242">
        <v>1433.13</v>
      </c>
      <c r="E18" s="242">
        <v>1388.47</v>
      </c>
      <c r="F18" s="242">
        <v>1380.63</v>
      </c>
      <c r="G18" s="242">
        <v>1680.41</v>
      </c>
      <c r="H18" s="242">
        <v>1590.11</v>
      </c>
      <c r="J18">
        <f t="shared" si="1"/>
        <v>2.9778663831295411E-2</v>
      </c>
      <c r="N18" t="s">
        <v>362</v>
      </c>
    </row>
    <row r="19" spans="1:14" ht="15">
      <c r="A19" s="238" t="s">
        <v>321</v>
      </c>
      <c r="B19" s="242">
        <v>1898.21</v>
      </c>
      <c r="C19" s="242">
        <v>1989.85</v>
      </c>
      <c r="D19" s="242">
        <v>1811.66</v>
      </c>
      <c r="E19" s="242">
        <v>1892.1</v>
      </c>
      <c r="F19" s="242">
        <v>2070.27</v>
      </c>
      <c r="G19" s="242">
        <v>2283.83</v>
      </c>
      <c r="H19" s="242">
        <v>2403.2600000000002</v>
      </c>
      <c r="J19">
        <f t="shared" si="1"/>
        <v>4.0471912103491048E-2</v>
      </c>
      <c r="N19">
        <v>2023</v>
      </c>
    </row>
    <row r="20" spans="1:14">
      <c r="A20" s="239"/>
      <c r="B20" s="241"/>
      <c r="C20" s="241"/>
      <c r="D20" s="241"/>
      <c r="E20" s="241"/>
      <c r="F20" s="241"/>
      <c r="G20" s="241"/>
      <c r="H20" s="241"/>
    </row>
    <row r="21" spans="1:14" ht="15.75">
      <c r="A21" s="240" t="s">
        <v>322</v>
      </c>
      <c r="B21" s="244">
        <f t="shared" ref="B21:J21" si="2">SUM(B8:B19)</f>
        <v>17086.899999999998</v>
      </c>
      <c r="C21" s="244">
        <f t="shared" si="2"/>
        <v>18355.03</v>
      </c>
      <c r="D21" s="244">
        <f t="shared" si="2"/>
        <v>17847.13</v>
      </c>
      <c r="E21" s="244">
        <f t="shared" si="2"/>
        <v>17412.339999999997</v>
      </c>
      <c r="F21" s="244">
        <f t="shared" si="2"/>
        <v>18168.190000000002</v>
      </c>
      <c r="G21" s="244">
        <f t="shared" si="2"/>
        <v>20594.799999999996</v>
      </c>
      <c r="H21" s="244">
        <f t="shared" si="2"/>
        <v>21347.03</v>
      </c>
      <c r="J21" s="244">
        <f t="shared" si="2"/>
        <v>0.34359720007088429</v>
      </c>
      <c r="K21" s="291">
        <f>J21/12</f>
        <v>2.8633100005907023E-2</v>
      </c>
    </row>
    <row r="22" spans="1:14" ht="38.25" customHeight="1">
      <c r="A22" s="219"/>
      <c r="B22" s="249"/>
      <c r="C22" s="249"/>
      <c r="D22" s="249"/>
      <c r="E22" s="249"/>
      <c r="F22" s="249"/>
      <c r="G22" s="249"/>
      <c r="H22" s="249"/>
      <c r="J22" s="249"/>
      <c r="K22" s="319"/>
    </row>
    <row r="23" spans="1:14" ht="25.5" customHeight="1"/>
    <row r="24" spans="1:14" ht="91.5" customHeight="1"/>
    <row r="25" spans="1:14" ht="15.75">
      <c r="A25" s="349" t="s">
        <v>323</v>
      </c>
      <c r="B25" s="349"/>
      <c r="C25" s="349"/>
      <c r="D25" s="349"/>
      <c r="E25" s="219"/>
      <c r="F25" s="219"/>
      <c r="G25" s="219"/>
      <c r="H25" s="219"/>
    </row>
    <row r="27" spans="1:14" ht="15">
      <c r="A27" s="238" t="s">
        <v>309</v>
      </c>
      <c r="B27" s="238" t="s">
        <v>325</v>
      </c>
      <c r="C27" s="238" t="s">
        <v>325</v>
      </c>
      <c r="D27" s="238" t="s">
        <v>325</v>
      </c>
      <c r="E27" s="217"/>
      <c r="F27" s="217"/>
      <c r="G27" s="217"/>
      <c r="H27" s="217"/>
    </row>
    <row r="28" spans="1:14" ht="15">
      <c r="A28" s="288"/>
      <c r="B28" s="290">
        <v>2023</v>
      </c>
      <c r="C28" s="290">
        <v>2024</v>
      </c>
      <c r="D28" s="290">
        <v>2025</v>
      </c>
      <c r="E28" s="246"/>
      <c r="F28" s="246"/>
      <c r="G28" s="246"/>
      <c r="H28" s="246"/>
    </row>
    <row r="29" spans="1:14" ht="15">
      <c r="A29" s="238" t="s">
        <v>310</v>
      </c>
      <c r="B29" s="242">
        <v>70.099999999999994</v>
      </c>
      <c r="C29" s="243">
        <v>75.760000000000005</v>
      </c>
      <c r="D29" s="242">
        <v>55.58</v>
      </c>
      <c r="E29" s="217"/>
      <c r="F29" s="246"/>
      <c r="G29" s="248"/>
      <c r="H29" s="246"/>
    </row>
    <row r="30" spans="1:14" ht="15">
      <c r="A30" s="238" t="s">
        <v>311</v>
      </c>
      <c r="B30" s="242">
        <v>66.25</v>
      </c>
      <c r="C30" s="242">
        <v>62.78</v>
      </c>
      <c r="D30" s="242">
        <v>47.21</v>
      </c>
      <c r="E30" s="217"/>
      <c r="F30" s="246"/>
      <c r="G30" s="246"/>
      <c r="H30" s="246"/>
    </row>
    <row r="31" spans="1:14" ht="15">
      <c r="A31" s="238" t="s">
        <v>312</v>
      </c>
      <c r="B31" s="242">
        <v>30.46</v>
      </c>
      <c r="C31" s="242">
        <v>29.36</v>
      </c>
      <c r="D31" s="242">
        <v>45.93</v>
      </c>
      <c r="E31" s="217"/>
      <c r="F31" s="246"/>
      <c r="G31" s="246"/>
      <c r="H31" s="246"/>
    </row>
    <row r="32" spans="1:14" ht="15">
      <c r="A32" s="238" t="s">
        <v>313</v>
      </c>
      <c r="B32" s="242">
        <v>23.31</v>
      </c>
      <c r="C32" s="242">
        <v>29.95</v>
      </c>
      <c r="D32" s="242">
        <v>37.76</v>
      </c>
      <c r="E32" s="217"/>
      <c r="F32" s="246"/>
      <c r="G32" s="246"/>
      <c r="H32" s="246"/>
    </row>
    <row r="33" spans="1:8" ht="15">
      <c r="A33" s="238" t="s">
        <v>314</v>
      </c>
      <c r="B33" s="242">
        <v>27.48</v>
      </c>
      <c r="C33" s="242">
        <v>26.71</v>
      </c>
      <c r="D33" s="242">
        <v>36.380000000000003</v>
      </c>
      <c r="E33" s="217"/>
      <c r="F33" s="246"/>
      <c r="G33" s="246"/>
      <c r="H33" s="246"/>
    </row>
    <row r="34" spans="1:8" ht="15">
      <c r="A34" s="238" t="s">
        <v>315</v>
      </c>
      <c r="B34" s="242">
        <v>26.39</v>
      </c>
      <c r="C34" s="242">
        <v>24.11</v>
      </c>
      <c r="D34" s="242">
        <v>42.98</v>
      </c>
      <c r="E34" s="217"/>
      <c r="F34" s="246"/>
      <c r="G34" s="246"/>
      <c r="H34" s="246"/>
    </row>
    <row r="35" spans="1:8" ht="15">
      <c r="A35" s="238" t="s">
        <v>316</v>
      </c>
      <c r="B35" s="242">
        <v>32.479999999999997</v>
      </c>
      <c r="C35" s="242">
        <v>33.06</v>
      </c>
      <c r="D35" s="242">
        <v>54.76</v>
      </c>
      <c r="E35" s="217"/>
      <c r="F35" s="246"/>
      <c r="G35" s="246"/>
      <c r="H35" s="246"/>
    </row>
    <row r="36" spans="1:8" ht="15">
      <c r="A36" s="238" t="s">
        <v>317</v>
      </c>
      <c r="B36" s="242">
        <v>34.26</v>
      </c>
      <c r="C36" s="242">
        <v>30.58</v>
      </c>
      <c r="D36" s="242">
        <v>37.25</v>
      </c>
      <c r="E36" s="217"/>
      <c r="F36" s="246"/>
      <c r="G36" s="246"/>
      <c r="H36" s="246"/>
    </row>
    <row r="37" spans="1:8" ht="15">
      <c r="A37" s="238" t="s">
        <v>318</v>
      </c>
      <c r="B37" s="242">
        <v>23.09</v>
      </c>
      <c r="C37" s="243">
        <v>30.38</v>
      </c>
      <c r="D37" s="242">
        <v>31.85</v>
      </c>
      <c r="E37" s="217"/>
      <c r="F37" s="246"/>
      <c r="G37" s="248"/>
      <c r="H37" s="246"/>
    </row>
    <row r="38" spans="1:8" ht="15">
      <c r="A38" s="238" t="s">
        <v>319</v>
      </c>
      <c r="B38" s="242">
        <v>34.04</v>
      </c>
      <c r="C38" s="242">
        <v>42.33</v>
      </c>
      <c r="D38" s="242">
        <v>27.16</v>
      </c>
      <c r="E38" s="217"/>
      <c r="F38" s="246"/>
      <c r="G38" s="246"/>
      <c r="H38" s="246"/>
    </row>
    <row r="39" spans="1:8" ht="15">
      <c r="A39" s="238" t="s">
        <v>320</v>
      </c>
      <c r="B39" s="242">
        <v>32.71</v>
      </c>
      <c r="C39" s="242">
        <v>56.66</v>
      </c>
      <c r="D39" s="242">
        <v>35.909999999999997</v>
      </c>
      <c r="E39" s="217"/>
      <c r="F39" s="246"/>
      <c r="G39" s="246"/>
      <c r="H39" s="246"/>
    </row>
    <row r="40" spans="1:8" ht="15">
      <c r="A40" s="238" t="s">
        <v>321</v>
      </c>
      <c r="B40" s="242">
        <v>40.380000000000003</v>
      </c>
      <c r="C40" s="242">
        <v>52.83</v>
      </c>
      <c r="D40" s="242">
        <v>69.709999999999994</v>
      </c>
      <c r="E40" s="217"/>
      <c r="F40" s="246"/>
      <c r="G40" s="246"/>
      <c r="H40" s="246"/>
    </row>
    <row r="41" spans="1:8">
      <c r="A41" s="239"/>
      <c r="B41" s="241"/>
      <c r="C41" s="241"/>
      <c r="D41" s="241"/>
      <c r="F41" s="189"/>
      <c r="G41" s="189"/>
      <c r="H41" s="189"/>
    </row>
    <row r="42" spans="1:8" ht="15.75">
      <c r="A42" s="240" t="s">
        <v>322</v>
      </c>
      <c r="B42" s="244">
        <f>SUM(B29:B40)</f>
        <v>440.95</v>
      </c>
      <c r="C42" s="244">
        <f>SUM(C29:C40)</f>
        <v>494.50999999999993</v>
      </c>
      <c r="D42" s="244">
        <f>SUM(D29:D40)</f>
        <v>522.48</v>
      </c>
      <c r="E42" s="219"/>
      <c r="F42" s="249"/>
      <c r="G42" s="249"/>
      <c r="H42" s="249"/>
    </row>
  </sheetData>
  <mergeCells count="2">
    <mergeCell ref="A4:H4"/>
    <mergeCell ref="A25:D25"/>
  </mergeCells>
  <pageMargins left="0.511811024" right="0.511811024" top="0.78740157499999996" bottom="0.78740157499999996" header="0.31496062000000002" footer="0.31496062000000002"/>
  <pageSetup paperSize="9" scale="9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B187-DA50-4E84-B955-BFE43D97D1B8}">
  <sheetPr>
    <pageSetUpPr fitToPage="1"/>
  </sheetPr>
  <dimension ref="A1:BL379"/>
  <sheetViews>
    <sheetView view="pageBreakPreview" topLeftCell="A323" zoomScaleNormal="100" zoomScaleSheetLayoutView="100" workbookViewId="0">
      <selection activeCell="C356" sqref="C356"/>
    </sheetView>
  </sheetViews>
  <sheetFormatPr defaultRowHeight="12.75"/>
  <cols>
    <col min="1" max="1" width="44.85546875" style="3" customWidth="1"/>
    <col min="2" max="2" width="15" style="3" customWidth="1"/>
    <col min="3" max="3" width="11.42578125" style="3" customWidth="1"/>
    <col min="4" max="4" width="14.5703125" style="2" customWidth="1"/>
    <col min="5" max="5" width="15.7109375" style="2" customWidth="1"/>
    <col min="6" max="6" width="13.5703125" style="2" customWidth="1"/>
    <col min="7" max="7" width="23.85546875" style="2" customWidth="1"/>
    <col min="8" max="8" width="13.85546875" style="3" customWidth="1"/>
    <col min="9" max="9" width="15" style="3" customWidth="1"/>
    <col min="10" max="10" width="13.7109375" style="3" customWidth="1"/>
    <col min="11" max="11" width="14.5703125" style="3" customWidth="1"/>
    <col min="12" max="64" width="9.42578125" style="3" customWidth="1"/>
    <col min="65" max="65" width="8.85546875" customWidth="1"/>
  </cols>
  <sheetData>
    <row r="1" spans="1:64" ht="88.5" customHeight="1">
      <c r="A1" s="330" t="s">
        <v>0</v>
      </c>
      <c r="B1" s="330"/>
      <c r="C1" s="330"/>
      <c r="D1" s="330"/>
      <c r="E1" s="330"/>
      <c r="F1" s="330"/>
    </row>
    <row r="2" spans="1:64" ht="55.5" customHeight="1">
      <c r="A2" s="331" t="s">
        <v>400</v>
      </c>
      <c r="B2" s="331"/>
      <c r="C2" s="331"/>
      <c r="D2" s="331"/>
      <c r="E2" s="331"/>
      <c r="F2" s="331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64" ht="15.75" customHeight="1">
      <c r="A3" s="332" t="s">
        <v>1</v>
      </c>
      <c r="B3" s="332"/>
      <c r="C3" s="332"/>
      <c r="D3" s="332"/>
      <c r="E3" s="332"/>
      <c r="F3" s="332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ht="15.75" customHeight="1">
      <c r="A4" s="6" t="s">
        <v>2</v>
      </c>
      <c r="B4" s="7"/>
      <c r="C4" s="7"/>
      <c r="D4" s="8"/>
      <c r="E4" s="9" t="s">
        <v>3</v>
      </c>
      <c r="F4" s="10" t="s">
        <v>4</v>
      </c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  <row r="5" spans="1:64" ht="15.75" customHeight="1">
      <c r="A5" s="9" t="str">
        <f>A51</f>
        <v>1. Mão-de-obra</v>
      </c>
      <c r="B5" s="11"/>
      <c r="C5" s="8"/>
      <c r="D5" s="8"/>
      <c r="E5" s="12">
        <f>+F134</f>
        <v>407372.08293171343</v>
      </c>
      <c r="F5" s="13">
        <f>IFERROR(E5/$E$35,0)</f>
        <v>0.48454739152882953</v>
      </c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ht="15.75" customHeight="1">
      <c r="A6" s="16" t="str">
        <f>A53</f>
        <v>1.1. Coletor Turno Dia</v>
      </c>
      <c r="B6" s="17"/>
      <c r="C6" s="7"/>
      <c r="D6" s="7"/>
      <c r="E6" s="18">
        <f>F64</f>
        <v>254017.721855932</v>
      </c>
      <c r="F6" s="19">
        <f>IFERROR(E6/$E$35,0)</f>
        <v>0.30214054836943682</v>
      </c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15.75" customHeight="1">
      <c r="A7" s="16" t="str">
        <f>A66</f>
        <v>1.2. Motorista Turno do Dia</v>
      </c>
      <c r="B7" s="17"/>
      <c r="C7" s="7"/>
      <c r="D7" s="7"/>
      <c r="E7" s="18">
        <f>F79</f>
        <v>94801.273062915716</v>
      </c>
      <c r="F7" s="19">
        <f>IFERROR(E7/$E$35,0)</f>
        <v>0.11276106414967116</v>
      </c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</row>
    <row r="8" spans="1:64" ht="15.75" customHeight="1">
      <c r="A8" s="16" t="s">
        <v>367</v>
      </c>
      <c r="B8" s="17"/>
      <c r="C8" s="7"/>
      <c r="D8" s="7"/>
      <c r="E8" s="18">
        <f>F95</f>
        <v>18855.605612865711</v>
      </c>
      <c r="F8" s="19">
        <f>IFERROR(E8/$E$35,0)</f>
        <v>2.2427738419527266E-2</v>
      </c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</row>
    <row r="9" spans="1:64" ht="15.75" customHeight="1">
      <c r="A9" s="16" t="str">
        <f>A97</f>
        <v>1.4. Vale Transporte</v>
      </c>
      <c r="B9" s="17"/>
      <c r="C9" s="7"/>
      <c r="D9" s="7"/>
      <c r="E9" s="18">
        <f>F104</f>
        <v>7343.6024000000025</v>
      </c>
      <c r="F9" s="19">
        <f>IFERROR(E9/$E$35,0)</f>
        <v>8.7348238537526997E-3</v>
      </c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</row>
    <row r="10" spans="1:64" ht="15.75" customHeight="1">
      <c r="A10" s="16" t="str">
        <f>A105</f>
        <v>1.5. Vale-refeição (diário)</v>
      </c>
      <c r="B10" s="17"/>
      <c r="C10" s="7"/>
      <c r="D10" s="7"/>
      <c r="E10" s="18">
        <f>F110</f>
        <v>25973.479999999996</v>
      </c>
      <c r="F10" s="19">
        <f>IFERROR(E10/$E$35,0)</f>
        <v>3.0894070826733285E-2</v>
      </c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ht="15.75" customHeight="1">
      <c r="A11" s="16" t="str">
        <f>A111</f>
        <v>1.6. Auxílio Alimentação (mensal)</v>
      </c>
      <c r="B11" s="17"/>
      <c r="C11" s="7"/>
      <c r="D11" s="7"/>
      <c r="E11" s="18">
        <f>F116</f>
        <v>1545.6000000000001</v>
      </c>
      <c r="F11" s="19">
        <f>IFERROR(E11/$E$35,0)</f>
        <v>1.8384088643415891E-3</v>
      </c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ht="15.75" customHeight="1">
      <c r="A12" s="16" t="str">
        <f>A118</f>
        <v>1.7. Plano de Beneficio Social</v>
      </c>
      <c r="B12" s="17"/>
      <c r="C12" s="7"/>
      <c r="D12" s="7"/>
      <c r="E12" s="18">
        <f>F121</f>
        <v>867.6</v>
      </c>
      <c r="F12" s="19">
        <f>IFERROR(E12/$E$35,0)</f>
        <v>1.0319639820799448E-3</v>
      </c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ht="15.75" customHeight="1">
      <c r="A13" s="16" t="str">
        <f>A123</f>
        <v>1.8. Seguro de vida para Motorista</v>
      </c>
      <c r="B13" s="17"/>
      <c r="C13" s="7"/>
      <c r="D13" s="7"/>
      <c r="E13" s="18">
        <f>F126</f>
        <v>1087.1999999999998</v>
      </c>
      <c r="F13" s="19">
        <f>IFERROR(E13/$E$35,0)</f>
        <v>1.2931664837682294E-3</v>
      </c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ht="15.75" customHeight="1">
      <c r="A14" s="16" t="str">
        <f>A128</f>
        <v>1.9. Prêmio Assiduidade (Coletores)</v>
      </c>
      <c r="B14" s="17"/>
      <c r="C14" s="7"/>
      <c r="D14" s="7"/>
      <c r="E14" s="18">
        <f>F131</f>
        <v>2880</v>
      </c>
      <c r="F14" s="19">
        <f t="shared" ref="F14" si="0">IFERROR(E14/$E$35,0)</f>
        <v>3.4256065795184886E-3</v>
      </c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</row>
    <row r="15" spans="1:64" ht="15.75" customHeight="1">
      <c r="A15" s="333" t="str">
        <f>A136</f>
        <v>2. Uniformes e Equipamentos de Proteção Individual</v>
      </c>
      <c r="B15" s="333"/>
      <c r="C15" s="333"/>
      <c r="D15" s="8"/>
      <c r="E15" s="12">
        <f>+F169</f>
        <v>15238.413333333332</v>
      </c>
      <c r="F15" s="13">
        <f>IFERROR(E15/$E$35,0)</f>
        <v>1.8125280894475324E-2</v>
      </c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</row>
    <row r="16" spans="1:64" ht="15.75" customHeight="1">
      <c r="A16" s="20" t="str">
        <f>A171</f>
        <v>3. Veículos e Equipamentos</v>
      </c>
      <c r="B16" s="21"/>
      <c r="C16" s="8"/>
      <c r="D16" s="8"/>
      <c r="E16" s="12">
        <f>+F306</f>
        <v>225968.03786312498</v>
      </c>
      <c r="F16" s="13">
        <f>IFERROR(E16/$E$35,0)</f>
        <v>0.26877694349472359</v>
      </c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</row>
    <row r="17" spans="1:64" ht="15.75" customHeight="1">
      <c r="A17" s="22" t="str">
        <f>A172</f>
        <v>3.1. Veículo Coletor Compactador 12 m³ ou maior</v>
      </c>
      <c r="B17" s="23"/>
      <c r="C17" s="7"/>
      <c r="D17" s="7"/>
      <c r="E17" s="18">
        <f>SUM(E18:E23)</f>
        <v>221547.95134484439</v>
      </c>
      <c r="F17" s="24">
        <f>IFERROR(E17/$E$35,0)</f>
        <v>0.26351948604366005</v>
      </c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ht="15.75" customHeight="1">
      <c r="A18" s="22" t="str">
        <f>A174</f>
        <v>3.1.1. Depreciação</v>
      </c>
      <c r="B18" s="23"/>
      <c r="C18" s="7"/>
      <c r="D18" s="7"/>
      <c r="E18" s="18">
        <f>F188</f>
        <v>30589.872832200006</v>
      </c>
      <c r="F18" s="24">
        <f>IFERROR(E18/$E$35,0)</f>
        <v>3.6385024180770213E-2</v>
      </c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</row>
    <row r="19" spans="1:64" ht="15.75" customHeight="1">
      <c r="A19" s="22" t="str">
        <f>A192</f>
        <v>3.1.2. Remuneração do Capital</v>
      </c>
      <c r="B19" s="23"/>
      <c r="C19" s="7"/>
      <c r="D19" s="7"/>
      <c r="E19" s="18">
        <f>F206</f>
        <v>23286.646289115004</v>
      </c>
      <c r="F19" s="24">
        <f>IFERROR(E19/$E$35,0)</f>
        <v>2.7698225257955612E-2</v>
      </c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</row>
    <row r="20" spans="1:64" ht="15.75" customHeight="1">
      <c r="A20" s="22" t="str">
        <f>A210</f>
        <v>3.1.3. Impostos e Seguros</v>
      </c>
      <c r="B20" s="23"/>
      <c r="C20" s="7"/>
      <c r="D20" s="7"/>
      <c r="E20" s="18">
        <f>F216</f>
        <v>5018.6239999999998</v>
      </c>
      <c r="F20" s="24">
        <f>IFERROR(E20/$E$35,0)</f>
        <v>5.9693859008782624E-3</v>
      </c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</row>
    <row r="21" spans="1:64" ht="15.75" customHeight="1">
      <c r="A21" s="22" t="str">
        <f>A218</f>
        <v>3.1.4. Consumos</v>
      </c>
      <c r="B21" s="23"/>
      <c r="C21" s="7"/>
      <c r="D21" s="7"/>
      <c r="E21" s="18">
        <f>F234</f>
        <v>113569.533</v>
      </c>
      <c r="F21" s="24">
        <f>IFERROR(E21/$E$35,0)</f>
        <v>0.13508490954084795</v>
      </c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</row>
    <row r="22" spans="1:64" ht="15.75" customHeight="1">
      <c r="A22" s="22" t="str">
        <f>A236</f>
        <v>3.1.5. Manutenção</v>
      </c>
      <c r="B22" s="23"/>
      <c r="C22" s="7"/>
      <c r="D22" s="7"/>
      <c r="E22" s="18">
        <f>F239</f>
        <v>39501</v>
      </c>
      <c r="F22" s="24">
        <f>IFERROR(E22/$E$35,0)</f>
        <v>4.6984335242208276E-2</v>
      </c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</row>
    <row r="23" spans="1:64" ht="15.75" customHeight="1">
      <c r="A23" s="22" t="str">
        <f>A241</f>
        <v>3.1.6. Pneus</v>
      </c>
      <c r="B23" s="23"/>
      <c r="C23" s="7"/>
      <c r="D23" s="7"/>
      <c r="E23" s="18">
        <f>F248</f>
        <v>9582.2752235294101</v>
      </c>
      <c r="F23" s="24">
        <f>IFERROR(E23/$E$35,0)</f>
        <v>1.1397605920999773E-2</v>
      </c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</row>
    <row r="24" spans="1:64" ht="15.75" customHeight="1">
      <c r="A24" s="22" t="s">
        <v>5</v>
      </c>
      <c r="B24" s="23"/>
      <c r="C24" s="7"/>
      <c r="D24" s="7"/>
      <c r="E24" s="18">
        <f>SUM(E25:E30)</f>
        <v>4420.0865182805555</v>
      </c>
      <c r="F24" s="24">
        <f>IFERROR(E24/$E$35,0)</f>
        <v>5.2574574510634861E-3</v>
      </c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</row>
    <row r="25" spans="1:64" ht="15.75" customHeight="1">
      <c r="A25" s="22" t="s">
        <v>6</v>
      </c>
      <c r="B25" s="23"/>
      <c r="C25" s="7"/>
      <c r="D25" s="7"/>
      <c r="E25" s="18">
        <f>F261</f>
        <v>595.72347333333335</v>
      </c>
      <c r="F25" s="24">
        <f>IFERROR(E25/$E$35,0)</f>
        <v>7.0858133674453949E-4</v>
      </c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</row>
    <row r="26" spans="1:64" ht="15.75" customHeight="1">
      <c r="A26" s="22" t="s">
        <v>7</v>
      </c>
      <c r="B26" s="23"/>
      <c r="C26" s="7"/>
      <c r="D26" s="7"/>
      <c r="E26" s="18">
        <f>F272</f>
        <v>920.39482272499993</v>
      </c>
      <c r="F26" s="24">
        <f>IFERROR(E26/$E$35,0)</f>
        <v>1.0947606112783031E-3</v>
      </c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ht="15.75" customHeight="1">
      <c r="A27" s="22" t="s">
        <v>8</v>
      </c>
      <c r="B27" s="23"/>
      <c r="C27" s="7"/>
      <c r="D27" s="7"/>
      <c r="E27" s="18">
        <f>F280</f>
        <v>473.45666666666665</v>
      </c>
      <c r="F27" s="24">
        <f>IFERROR(E27/$E$35,0)</f>
        <v>5.6315148348966152E-4</v>
      </c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</row>
    <row r="28" spans="1:64" ht="15.75" customHeight="1">
      <c r="A28" s="22" t="s">
        <v>9</v>
      </c>
      <c r="B28" s="23"/>
      <c r="C28" s="7"/>
      <c r="D28" s="7"/>
      <c r="E28" s="18">
        <f>F291</f>
        <v>1849.0555555555554</v>
      </c>
      <c r="F28" s="24">
        <f>IFERROR(E28/$E$35,0)</f>
        <v>2.1993530822938629E-3</v>
      </c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</row>
    <row r="29" spans="1:64" ht="15.75" customHeight="1">
      <c r="A29" s="22" t="s">
        <v>10</v>
      </c>
      <c r="B29" s="23"/>
      <c r="C29" s="7"/>
      <c r="D29" s="7"/>
      <c r="E29" s="18">
        <f>F296</f>
        <v>450</v>
      </c>
      <c r="F29" s="24">
        <f>IFERROR(E29/$E$35,0)</f>
        <v>5.3525102804976383E-4</v>
      </c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</row>
    <row r="30" spans="1:64" ht="15.75" customHeight="1">
      <c r="A30" s="22" t="s">
        <v>11</v>
      </c>
      <c r="B30" s="23"/>
      <c r="C30" s="7"/>
      <c r="D30" s="7"/>
      <c r="E30" s="18">
        <f>F303</f>
        <v>131.45599999999999</v>
      </c>
      <c r="F30" s="24">
        <f>IFERROR(E30/$E$35,0)</f>
        <v>1.5635990920735501E-4</v>
      </c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</row>
    <row r="31" spans="1:64" ht="15.75" customHeight="1">
      <c r="A31" s="20" t="str">
        <f>A308</f>
        <v>4. Ferramentas e Materiais de Consumo</v>
      </c>
      <c r="B31" s="21"/>
      <c r="C31" s="8"/>
      <c r="D31" s="8"/>
      <c r="E31" s="12">
        <f>+F318</f>
        <v>364.34666666666669</v>
      </c>
      <c r="F31" s="13">
        <f>IFERROR(E31/$E$35,0)</f>
        <v>4.3337095088852887E-4</v>
      </c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</row>
    <row r="32" spans="1:64" ht="15.75" customHeight="1">
      <c r="A32" s="20" t="str">
        <f>A320</f>
        <v>5. Monitoramento da Frota</v>
      </c>
      <c r="B32" s="21"/>
      <c r="C32" s="8"/>
      <c r="D32" s="8"/>
      <c r="E32" s="12">
        <f>+F329</f>
        <v>516.1</v>
      </c>
      <c r="F32" s="13">
        <f>IFERROR(E32/$E$35,0)</f>
        <v>6.138734568366292E-4</v>
      </c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</row>
    <row r="33" spans="1:64" ht="15.75" customHeight="1">
      <c r="A33" s="20" t="str">
        <f>A331</f>
        <v>6. Instalações / Canteiro</v>
      </c>
      <c r="B33" s="21"/>
      <c r="C33" s="8"/>
      <c r="D33" s="8"/>
      <c r="E33" s="12">
        <f>+F333</f>
        <v>7000</v>
      </c>
      <c r="F33" s="13">
        <f>IFERROR(E33/$E$35,0)</f>
        <v>8.3261271029963276E-3</v>
      </c>
      <c r="G33" s="1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</row>
    <row r="34" spans="1:64" ht="15.75" customHeight="1">
      <c r="A34" s="20" t="str">
        <f>A336</f>
        <v>7. Benefícios e Despesas Indiretas - BDI</v>
      </c>
      <c r="B34" s="21"/>
      <c r="C34" s="8"/>
      <c r="D34" s="8"/>
      <c r="E34" s="12">
        <f>+F342</f>
        <v>184268.03590911112</v>
      </c>
      <c r="F34" s="13">
        <f>IFERROR(E34/$E$35,0)</f>
        <v>0.21917701257125008</v>
      </c>
      <c r="G34" s="14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</row>
    <row r="35" spans="1:64" ht="15.75" customHeight="1">
      <c r="A35" s="20" t="s">
        <v>12</v>
      </c>
      <c r="B35" s="21"/>
      <c r="C35" s="8"/>
      <c r="D35" s="8"/>
      <c r="E35" s="25">
        <f>E5+E15+E16+E31+E32+E33+E34</f>
        <v>840727.01670394954</v>
      </c>
      <c r="F35" s="26">
        <f>F5+F15+F16+F31+F32+F34</f>
        <v>0.99167387289700371</v>
      </c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</row>
    <row r="37" spans="1:64" ht="15" customHeight="1">
      <c r="A37" s="332" t="s">
        <v>13</v>
      </c>
      <c r="B37" s="332"/>
      <c r="C37" s="332"/>
      <c r="D37" s="332"/>
      <c r="E37" s="332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1:64" ht="15" customHeight="1">
      <c r="A38" s="334" t="s">
        <v>14</v>
      </c>
      <c r="B38" s="334"/>
      <c r="C38" s="334"/>
      <c r="D38" s="334"/>
      <c r="E38" s="27" t="s">
        <v>15</v>
      </c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</row>
    <row r="39" spans="1:64" ht="15" customHeight="1">
      <c r="A39" s="28" t="str">
        <f>+A53</f>
        <v>1.1. Coletor Turno Dia</v>
      </c>
      <c r="B39" s="29"/>
      <c r="C39" s="29"/>
      <c r="D39" s="30"/>
      <c r="E39" s="31">
        <v>36</v>
      </c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</row>
    <row r="40" spans="1:64" ht="15" customHeight="1">
      <c r="A40" s="28" t="str">
        <f>+A66</f>
        <v>1.2. Motorista Turno do Dia</v>
      </c>
      <c r="B40" s="29"/>
      <c r="C40" s="29"/>
      <c r="D40" s="30"/>
      <c r="E40" s="31">
        <v>12</v>
      </c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</row>
    <row r="41" spans="1:64" ht="15" customHeight="1">
      <c r="A41" s="28" t="str">
        <f>A80</f>
        <v>1.3 Fiscal de Coleta (Supervisor)</v>
      </c>
      <c r="B41" s="29"/>
      <c r="C41" s="29"/>
      <c r="D41" s="30"/>
      <c r="E41" s="31">
        <v>2</v>
      </c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</row>
    <row r="42" spans="1:64" ht="15" customHeight="1">
      <c r="A42" s="32" t="s">
        <v>16</v>
      </c>
      <c r="B42" s="33"/>
      <c r="C42" s="33"/>
      <c r="D42" s="34"/>
      <c r="E42" s="35">
        <f>SUM(E39:E41)</f>
        <v>50</v>
      </c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</row>
    <row r="43" spans="1:64" ht="15" customHeight="1">
      <c r="A43" s="36"/>
      <c r="B43" s="37"/>
      <c r="C43" s="2"/>
      <c r="E43" s="38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</row>
    <row r="44" spans="1:64" ht="15" customHeight="1">
      <c r="A44" s="329" t="s">
        <v>17</v>
      </c>
      <c r="B44" s="329"/>
      <c r="C44" s="329"/>
      <c r="D44" s="329"/>
      <c r="E44" s="27" t="s">
        <v>15</v>
      </c>
      <c r="F44" s="3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</row>
    <row r="45" spans="1:64" ht="15" customHeight="1">
      <c r="A45" s="28" t="str">
        <f>+A172</f>
        <v>3.1. Veículo Coletor Compactador 12 m³ ou maior</v>
      </c>
      <c r="B45" s="29"/>
      <c r="C45" s="29"/>
      <c r="D45" s="40"/>
      <c r="E45" s="31">
        <v>6</v>
      </c>
      <c r="F45" s="3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</row>
    <row r="46" spans="1:64" ht="15" customHeight="1">
      <c r="A46" s="16" t="s">
        <v>370</v>
      </c>
      <c r="B46" s="29"/>
      <c r="C46" s="29"/>
      <c r="D46" s="40"/>
      <c r="E46" s="303">
        <v>1</v>
      </c>
      <c r="F46" s="3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</row>
    <row r="47" spans="1:64" ht="15" hidden="1" customHeight="1">
      <c r="A47" s="28" t="s">
        <v>18</v>
      </c>
      <c r="B47" s="29"/>
      <c r="C47" s="29"/>
      <c r="D47" s="40"/>
      <c r="E47" s="31">
        <v>0</v>
      </c>
      <c r="F47" s="3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</row>
    <row r="48" spans="1:64" ht="15" customHeight="1">
      <c r="A48" s="2"/>
      <c r="B48" s="2"/>
      <c r="C48" s="2"/>
      <c r="D48" s="3"/>
      <c r="E48" s="41"/>
      <c r="F48" s="3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</row>
    <row r="49" spans="1:64" ht="15.75" customHeight="1">
      <c r="A49" s="9" t="s">
        <v>19</v>
      </c>
      <c r="B49" s="43">
        <v>1</v>
      </c>
      <c r="C49" s="14"/>
      <c r="D49" s="15"/>
      <c r="E49" s="44"/>
      <c r="F49" s="15"/>
      <c r="G49" s="14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</row>
    <row r="50" spans="1:64" ht="15.75" customHeight="1">
      <c r="A50" s="2"/>
      <c r="B50" s="2"/>
      <c r="C50" s="2"/>
      <c r="D50" s="3"/>
      <c r="E50" s="42"/>
      <c r="F50" s="3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</row>
    <row r="51" spans="1:64" ht="13.15" customHeight="1">
      <c r="A51" s="15" t="s">
        <v>20</v>
      </c>
    </row>
    <row r="52" spans="1:64" ht="11.25" customHeight="1"/>
    <row r="53" spans="1:64" ht="13.9" customHeight="1">
      <c r="A53" s="3" t="s">
        <v>21</v>
      </c>
    </row>
    <row r="54" spans="1:64" ht="13.9" customHeight="1">
      <c r="A54" s="45" t="s">
        <v>22</v>
      </c>
      <c r="B54" s="45" t="s">
        <v>23</v>
      </c>
      <c r="C54" s="45" t="s">
        <v>15</v>
      </c>
      <c r="D54" s="46" t="s">
        <v>24</v>
      </c>
      <c r="E54" s="46" t="s">
        <v>25</v>
      </c>
      <c r="F54" s="46" t="s">
        <v>26</v>
      </c>
    </row>
    <row r="55" spans="1:64" ht="13.15" customHeight="1">
      <c r="A55" s="47" t="s">
        <v>27</v>
      </c>
      <c r="B55" s="48" t="s">
        <v>28</v>
      </c>
      <c r="C55" s="48">
        <v>1</v>
      </c>
      <c r="D55" s="49">
        <v>2082.31</v>
      </c>
      <c r="E55" s="50">
        <f>C55*D55</f>
        <v>2082.31</v>
      </c>
    </row>
    <row r="56" spans="1:64">
      <c r="A56" s="51" t="s">
        <v>29</v>
      </c>
      <c r="B56" s="52" t="s">
        <v>30</v>
      </c>
      <c r="C56" s="256">
        <f>(4.2*7.33)+7.33</f>
        <v>38.116</v>
      </c>
      <c r="D56" s="54">
        <f>D55/220*2</f>
        <v>18.930090909090907</v>
      </c>
      <c r="E56" s="54">
        <f>C56*D56</f>
        <v>721.53934509090902</v>
      </c>
      <c r="G56" s="2" t="s">
        <v>31</v>
      </c>
    </row>
    <row r="57" spans="1:64" ht="13.15" customHeight="1">
      <c r="A57" s="51" t="s">
        <v>32</v>
      </c>
      <c r="B57" s="52" t="s">
        <v>30</v>
      </c>
      <c r="C57" s="256">
        <v>0</v>
      </c>
      <c r="D57" s="54">
        <f>D55/220*1.5</f>
        <v>14.19756818181818</v>
      </c>
      <c r="E57" s="54">
        <f>C57*D57</f>
        <v>0</v>
      </c>
      <c r="G57" s="2" t="s">
        <v>33</v>
      </c>
    </row>
    <row r="58" spans="1:64" ht="13.15" customHeight="1">
      <c r="A58" s="51" t="s">
        <v>34</v>
      </c>
      <c r="B58" s="52" t="s">
        <v>35</v>
      </c>
      <c r="D58" s="54">
        <f>63/302*(SUM(E56:E57))</f>
        <v>150.51979715472606</v>
      </c>
      <c r="E58" s="54">
        <f>D58</f>
        <v>150.51979715472606</v>
      </c>
      <c r="G58" s="2" t="s">
        <v>36</v>
      </c>
    </row>
    <row r="59" spans="1:64">
      <c r="A59" s="51" t="s">
        <v>37</v>
      </c>
      <c r="B59" s="52" t="s">
        <v>4</v>
      </c>
      <c r="C59" s="52">
        <v>40</v>
      </c>
      <c r="D59" s="54">
        <f>SUM(E55:E58)</f>
        <v>2954.369142245635</v>
      </c>
      <c r="E59" s="54">
        <f>C59*D59/100</f>
        <v>1181.747656898254</v>
      </c>
    </row>
    <row r="60" spans="1:64">
      <c r="A60" s="55" t="s">
        <v>38</v>
      </c>
      <c r="B60" s="56"/>
      <c r="C60" s="56"/>
      <c r="D60" s="57"/>
      <c r="E60" s="58">
        <f>SUM(E55:E59)</f>
        <v>4136.1167991438888</v>
      </c>
    </row>
    <row r="61" spans="1:64">
      <c r="A61" s="51" t="s">
        <v>39</v>
      </c>
      <c r="B61" s="52" t="s">
        <v>4</v>
      </c>
      <c r="C61" s="59">
        <f>'2_Encargos_Sociais'!$C$37*100</f>
        <v>70.595951999999997</v>
      </c>
      <c r="D61" s="54">
        <f>E60</f>
        <v>4136.1167991438888</v>
      </c>
      <c r="E61" s="54">
        <f>D61*C61/100</f>
        <v>2919.9310301875562</v>
      </c>
    </row>
    <row r="62" spans="1:64">
      <c r="A62" s="55" t="s">
        <v>40</v>
      </c>
      <c r="B62" s="56"/>
      <c r="C62" s="56"/>
      <c r="D62" s="57"/>
      <c r="E62" s="58">
        <f>E60+E61</f>
        <v>7056.0478293314445</v>
      </c>
    </row>
    <row r="63" spans="1:64">
      <c r="A63" s="51" t="s">
        <v>41</v>
      </c>
      <c r="B63" s="52" t="s">
        <v>42</v>
      </c>
      <c r="C63" s="65">
        <f>E39</f>
        <v>36</v>
      </c>
      <c r="D63" s="54">
        <f>E62</f>
        <v>7056.0478293314445</v>
      </c>
      <c r="E63" s="54">
        <f>C63*D63</f>
        <v>254017.721855932</v>
      </c>
      <c r="G63" s="4"/>
    </row>
    <row r="64" spans="1:64" ht="13.9" customHeight="1">
      <c r="D64" s="61" t="s">
        <v>43</v>
      </c>
      <c r="E64" s="62">
        <f>$B$49</f>
        <v>1</v>
      </c>
      <c r="F64" s="63">
        <f>E63*E64</f>
        <v>254017.721855932</v>
      </c>
      <c r="G64" s="4"/>
    </row>
    <row r="65" spans="1:64" ht="4.5" customHeight="1"/>
    <row r="66" spans="1:64">
      <c r="A66" s="3" t="s">
        <v>273</v>
      </c>
    </row>
    <row r="67" spans="1:64" ht="13.15" customHeight="1">
      <c r="A67" s="45" t="s">
        <v>22</v>
      </c>
      <c r="B67" s="45" t="s">
        <v>23</v>
      </c>
      <c r="C67" s="45" t="s">
        <v>15</v>
      </c>
      <c r="D67" s="46" t="s">
        <v>24</v>
      </c>
      <c r="E67" s="46" t="s">
        <v>25</v>
      </c>
      <c r="F67" s="46" t="s">
        <v>26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</row>
    <row r="68" spans="1:64">
      <c r="A68" s="47" t="s">
        <v>47</v>
      </c>
      <c r="B68" s="48" t="s">
        <v>28</v>
      </c>
      <c r="C68" s="48">
        <v>1</v>
      </c>
      <c r="D68" s="49">
        <v>2331.4</v>
      </c>
      <c r="E68" s="50">
        <f>C68*D68</f>
        <v>2331.4</v>
      </c>
    </row>
    <row r="69" spans="1:64">
      <c r="A69" s="47" t="s">
        <v>48</v>
      </c>
      <c r="B69" s="48" t="s">
        <v>28</v>
      </c>
      <c r="C69" s="48">
        <v>1</v>
      </c>
      <c r="D69" s="49">
        <v>1621</v>
      </c>
      <c r="E69" s="50"/>
    </row>
    <row r="70" spans="1:64">
      <c r="A70" s="51" t="s">
        <v>29</v>
      </c>
      <c r="B70" s="52" t="s">
        <v>30</v>
      </c>
      <c r="C70" s="256">
        <f>(4.2*7.33)+7.33</f>
        <v>38.116</v>
      </c>
      <c r="D70" s="54">
        <f>D68/220*2</f>
        <v>21.194545454545455</v>
      </c>
      <c r="E70" s="54">
        <f>C70*D70</f>
        <v>807.85129454545461</v>
      </c>
      <c r="G70" s="2" t="s">
        <v>31</v>
      </c>
    </row>
    <row r="71" spans="1:64">
      <c r="A71" s="51" t="s">
        <v>32</v>
      </c>
      <c r="B71" s="52" t="s">
        <v>30</v>
      </c>
      <c r="C71" s="256">
        <v>0</v>
      </c>
      <c r="D71" s="54">
        <f>D68/220*1.5</f>
        <v>15.895909090909091</v>
      </c>
      <c r="E71" s="54">
        <f>C71*D71</f>
        <v>0</v>
      </c>
      <c r="G71" s="2" t="s">
        <v>33</v>
      </c>
    </row>
    <row r="72" spans="1:64" ht="13.15" customHeight="1">
      <c r="A72" s="51" t="s">
        <v>34</v>
      </c>
      <c r="B72" s="52" t="s">
        <v>35</v>
      </c>
      <c r="D72" s="54">
        <f>63/302*(SUM(E70:E71))</f>
        <v>168.52527005418426</v>
      </c>
      <c r="E72" s="54">
        <f>D72</f>
        <v>168.52527005418426</v>
      </c>
      <c r="G72" s="2" t="s">
        <v>36</v>
      </c>
    </row>
    <row r="73" spans="1:64">
      <c r="A73" s="51" t="s">
        <v>49</v>
      </c>
      <c r="B73" s="52"/>
      <c r="C73" s="65">
        <v>2</v>
      </c>
      <c r="D73" s="54"/>
      <c r="E73" s="54"/>
    </row>
    <row r="74" spans="1:64">
      <c r="A74" s="51" t="s">
        <v>37</v>
      </c>
      <c r="B74" s="52" t="s">
        <v>4</v>
      </c>
      <c r="C74" s="60">
        <v>40</v>
      </c>
      <c r="D74" s="54">
        <f>IF(C73=2,SUM(E68:E72),IF(C73=1,(SUM(E68:E72))*D69/D68,0))</f>
        <v>3307.7765645996387</v>
      </c>
      <c r="E74" s="54">
        <f>C74*D74/100</f>
        <v>1323.1106258398556</v>
      </c>
    </row>
    <row r="75" spans="1:64">
      <c r="A75" s="66" t="s">
        <v>38</v>
      </c>
      <c r="B75" s="56"/>
      <c r="C75" s="56"/>
      <c r="D75" s="57"/>
      <c r="E75" s="10">
        <f>SUM(E68:E74)</f>
        <v>4630.8871904394946</v>
      </c>
      <c r="F75" s="14"/>
      <c r="G75" s="14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6" spans="1:64">
      <c r="A76" s="51" t="s">
        <v>39</v>
      </c>
      <c r="B76" s="52" t="s">
        <v>4</v>
      </c>
      <c r="C76" s="59">
        <f>'2_Encargos_Sociais'!$C$37*100</f>
        <v>70.595951999999997</v>
      </c>
      <c r="D76" s="54">
        <f>E75</f>
        <v>4630.8871904394946</v>
      </c>
      <c r="E76" s="54">
        <f>D76*C76/100</f>
        <v>3269.2188981368145</v>
      </c>
    </row>
    <row r="77" spans="1:64">
      <c r="A77" s="66" t="s">
        <v>50</v>
      </c>
      <c r="B77" s="67"/>
      <c r="C77" s="67"/>
      <c r="D77" s="68"/>
      <c r="E77" s="10">
        <f>E75+E76</f>
        <v>7900.106088576309</v>
      </c>
      <c r="F77" s="14"/>
      <c r="G77" s="14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8" spans="1:64">
      <c r="A78" s="51" t="s">
        <v>41</v>
      </c>
      <c r="B78" s="52" t="s">
        <v>42</v>
      </c>
      <c r="C78" s="65">
        <f>E40</f>
        <v>12</v>
      </c>
      <c r="D78" s="54">
        <f>E77</f>
        <v>7900.106088576309</v>
      </c>
      <c r="E78" s="54">
        <f>C78*D78</f>
        <v>94801.273062915716</v>
      </c>
    </row>
    <row r="79" spans="1:64">
      <c r="D79" s="61" t="s">
        <v>43</v>
      </c>
      <c r="E79" s="62">
        <f>$B$49</f>
        <v>1</v>
      </c>
      <c r="F79" s="63">
        <f>E78*E79</f>
        <v>94801.273062915716</v>
      </c>
    </row>
    <row r="80" spans="1:64" ht="11.25" customHeight="1">
      <c r="A80" s="262" t="s">
        <v>368</v>
      </c>
    </row>
    <row r="81" spans="1:7" ht="11.25" customHeight="1">
      <c r="A81" s="45" t="s">
        <v>22</v>
      </c>
      <c r="B81" s="45" t="s">
        <v>23</v>
      </c>
      <c r="C81" s="45" t="s">
        <v>15</v>
      </c>
      <c r="D81" s="46" t="s">
        <v>24</v>
      </c>
      <c r="E81" s="46" t="s">
        <v>25</v>
      </c>
      <c r="F81" s="46" t="s">
        <v>26</v>
      </c>
    </row>
    <row r="82" spans="1:7" ht="11.25" customHeight="1">
      <c r="A82" s="47" t="s">
        <v>27</v>
      </c>
      <c r="B82" s="48" t="s">
        <v>28</v>
      </c>
      <c r="C82" s="48">
        <v>1</v>
      </c>
      <c r="D82" s="50">
        <f>D68*1.4</f>
        <v>3263.96</v>
      </c>
      <c r="E82" s="50">
        <f>C82*D82</f>
        <v>3263.96</v>
      </c>
    </row>
    <row r="83" spans="1:7" ht="11.25" customHeight="1">
      <c r="A83" s="47" t="s">
        <v>48</v>
      </c>
      <c r="B83" s="48" t="s">
        <v>28</v>
      </c>
      <c r="C83" s="48">
        <v>0</v>
      </c>
      <c r="D83" s="54">
        <f>D69</f>
        <v>1621</v>
      </c>
      <c r="E83" s="54"/>
    </row>
    <row r="84" spans="1:7" ht="11.25" hidden="1" customHeight="1">
      <c r="A84" s="51" t="s">
        <v>44</v>
      </c>
      <c r="B84" s="52" t="s">
        <v>45</v>
      </c>
      <c r="C84" s="53">
        <v>0</v>
      </c>
      <c r="D84" s="51"/>
      <c r="E84" s="51"/>
    </row>
    <row r="85" spans="1:7" ht="11.25" hidden="1" customHeight="1">
      <c r="A85" s="51"/>
      <c r="B85" s="52" t="s">
        <v>46</v>
      </c>
      <c r="C85" s="54">
        <f>C84*8/7</f>
        <v>0</v>
      </c>
      <c r="D85" s="54">
        <f>D82/220*0.2</f>
        <v>2.9672363636363639</v>
      </c>
      <c r="E85" s="54">
        <f>C85*D85</f>
        <v>0</v>
      </c>
    </row>
    <row r="86" spans="1:7" ht="11.25" customHeight="1">
      <c r="A86" s="51" t="s">
        <v>29</v>
      </c>
      <c r="B86" s="52" t="s">
        <v>30</v>
      </c>
      <c r="C86" s="306">
        <f>C70*0.5</f>
        <v>19.058</v>
      </c>
      <c r="D86" s="54">
        <f>D82/220*2</f>
        <v>29.672363636363638</v>
      </c>
      <c r="E86" s="54">
        <f>C86*D86</f>
        <v>565.49590618181821</v>
      </c>
    </row>
    <row r="87" spans="1:7" ht="11.25" customHeight="1">
      <c r="A87" s="51" t="s">
        <v>32</v>
      </c>
      <c r="B87" s="52" t="s">
        <v>30</v>
      </c>
      <c r="C87" s="306"/>
      <c r="D87" s="54">
        <f>D82/220*1.5</f>
        <v>22.254272727272728</v>
      </c>
      <c r="E87" s="54">
        <f>C87*D87</f>
        <v>0</v>
      </c>
    </row>
    <row r="88" spans="1:7" ht="11.25" customHeight="1">
      <c r="A88" s="51" t="s">
        <v>34</v>
      </c>
      <c r="B88" s="52" t="s">
        <v>35</v>
      </c>
      <c r="D88" s="54">
        <f>63/302*(SUM(E86:E87))</f>
        <v>117.96768903792898</v>
      </c>
      <c r="E88" s="54">
        <f>D88</f>
        <v>117.96768903792898</v>
      </c>
    </row>
    <row r="89" spans="1:7" ht="11.25" customHeight="1">
      <c r="A89" s="51" t="s">
        <v>49</v>
      </c>
      <c r="B89" s="52"/>
      <c r="C89" s="65">
        <v>2</v>
      </c>
      <c r="D89" s="54"/>
      <c r="E89" s="54"/>
    </row>
    <row r="90" spans="1:7" ht="11.25" customHeight="1">
      <c r="A90" s="51" t="s">
        <v>37</v>
      </c>
      <c r="B90" s="52" t="s">
        <v>4</v>
      </c>
      <c r="C90" s="54">
        <v>40</v>
      </c>
      <c r="D90" s="54">
        <f>IF(C89=2,SUM(E82:E88),IF(C89=1,SUM(E82:E88)*D83/D82,0))</f>
        <v>3947.4235952197473</v>
      </c>
      <c r="E90" s="54">
        <f>C90*D90/100</f>
        <v>1578.9694380878989</v>
      </c>
    </row>
    <row r="91" spans="1:7" ht="11.25" customHeight="1">
      <c r="A91" s="55" t="s">
        <v>38</v>
      </c>
      <c r="B91" s="56"/>
      <c r="C91" s="56"/>
      <c r="D91" s="57"/>
      <c r="E91" s="58">
        <f>SUM(E82:E90)</f>
        <v>5526.393033307646</v>
      </c>
      <c r="F91" s="14"/>
    </row>
    <row r="92" spans="1:7" ht="11.25" customHeight="1">
      <c r="A92" s="51" t="s">
        <v>39</v>
      </c>
      <c r="B92" s="52" t="s">
        <v>4</v>
      </c>
      <c r="C92" s="59">
        <f>'2_Encargos_Sociais'!$C$37*100</f>
        <v>70.595951999999997</v>
      </c>
      <c r="D92" s="54">
        <f>E91</f>
        <v>5526.393033307646</v>
      </c>
      <c r="E92" s="54">
        <f>D92*C92/100</f>
        <v>3901.4097731252095</v>
      </c>
    </row>
    <row r="93" spans="1:7" ht="11.25" customHeight="1">
      <c r="A93" s="55" t="s">
        <v>51</v>
      </c>
      <c r="B93" s="56"/>
      <c r="C93" s="56"/>
      <c r="D93" s="57"/>
      <c r="E93" s="58">
        <f>E91+E92</f>
        <v>9427.8028064328555</v>
      </c>
      <c r="F93" s="14"/>
    </row>
    <row r="94" spans="1:7" ht="11.25" customHeight="1">
      <c r="A94" s="51" t="s">
        <v>41</v>
      </c>
      <c r="B94" s="52" t="s">
        <v>42</v>
      </c>
      <c r="C94" s="60">
        <v>2</v>
      </c>
      <c r="D94" s="54">
        <f>E93</f>
        <v>9427.8028064328555</v>
      </c>
      <c r="E94" s="54">
        <f>C94*D94</f>
        <v>18855.605612865711</v>
      </c>
    </row>
    <row r="95" spans="1:7" ht="11.25" customHeight="1">
      <c r="D95" s="61" t="s">
        <v>43</v>
      </c>
      <c r="E95" s="261">
        <v>1</v>
      </c>
      <c r="F95" s="63">
        <f>E94*E95</f>
        <v>18855.605612865711</v>
      </c>
    </row>
    <row r="96" spans="1:7" ht="11.25" customHeight="1">
      <c r="G96" s="3"/>
    </row>
    <row r="97" spans="1:7" ht="11.25" customHeight="1">
      <c r="A97" s="3" t="s">
        <v>389</v>
      </c>
      <c r="E97" s="2">
        <v>1</v>
      </c>
      <c r="G97" s="3"/>
    </row>
    <row r="98" spans="1:7">
      <c r="A98" s="321" t="s">
        <v>22</v>
      </c>
      <c r="B98" s="320" t="s">
        <v>23</v>
      </c>
      <c r="C98" s="45" t="s">
        <v>15</v>
      </c>
      <c r="D98" s="46" t="s">
        <v>24</v>
      </c>
      <c r="E98" s="46" t="s">
        <v>25</v>
      </c>
      <c r="F98" s="46" t="s">
        <v>26</v>
      </c>
      <c r="G98" s="3"/>
    </row>
    <row r="99" spans="1:7">
      <c r="A99" s="47" t="s">
        <v>52</v>
      </c>
      <c r="B99" s="52" t="s">
        <v>35</v>
      </c>
      <c r="C99" s="70">
        <v>1</v>
      </c>
      <c r="D99" s="71">
        <v>5.2</v>
      </c>
      <c r="E99" s="54"/>
      <c r="G99" s="72"/>
    </row>
    <row r="100" spans="1:7">
      <c r="A100" s="51" t="s">
        <v>53</v>
      </c>
      <c r="B100" s="52" t="s">
        <v>54</v>
      </c>
      <c r="C100" s="73">
        <v>26</v>
      </c>
      <c r="D100" s="54"/>
      <c r="E100" s="54"/>
      <c r="G100" s="3"/>
    </row>
    <row r="101" spans="1:7">
      <c r="A101" s="51" t="s">
        <v>55</v>
      </c>
      <c r="B101" s="52" t="s">
        <v>56</v>
      </c>
      <c r="C101" s="74">
        <f>$C$100*2*(C63)</f>
        <v>1872</v>
      </c>
      <c r="D101" s="50">
        <f>IFERROR((($C$100*2*$D$99)-(E55*0.06*C100/26))/($C$100*2),"-")</f>
        <v>2.7973346153846164</v>
      </c>
      <c r="E101" s="54">
        <f>IFERROR(C101*D101,"-")</f>
        <v>5236.6104000000014</v>
      </c>
      <c r="G101" s="3"/>
    </row>
    <row r="102" spans="1:7">
      <c r="A102" s="47" t="s">
        <v>57</v>
      </c>
      <c r="B102" s="48" t="s">
        <v>56</v>
      </c>
      <c r="C102" s="74">
        <f>$C$100*2*(C78)</f>
        <v>624</v>
      </c>
      <c r="D102" s="50">
        <f>IFERROR((($C$100*2*$D$99)-(E68*0.06*C100/26))/($C$100*2),"-")</f>
        <v>2.5099230769230778</v>
      </c>
      <c r="E102" s="50">
        <f>IFERROR(C102*D102,"-")</f>
        <v>1566.1920000000005</v>
      </c>
      <c r="G102" s="3"/>
    </row>
    <row r="103" spans="1:7">
      <c r="A103" s="47" t="s">
        <v>369</v>
      </c>
      <c r="B103" s="48" t="s">
        <v>56</v>
      </c>
      <c r="C103" s="74">
        <f>$C$100*2*(C94)</f>
        <v>104</v>
      </c>
      <c r="D103" s="50">
        <f>IFERROR((($C$100*2*$D$99)-(E69*0.06*C101/26))/($C$100*2),"-")</f>
        <v>5.2000000000000011</v>
      </c>
      <c r="E103" s="50">
        <f>IFERROR(C103*D103,"-")</f>
        <v>540.80000000000007</v>
      </c>
    </row>
    <row r="104" spans="1:7">
      <c r="F104" s="75">
        <f>SUM(E101:E103)</f>
        <v>7343.6024000000025</v>
      </c>
      <c r="G104" s="3"/>
    </row>
    <row r="105" spans="1:7">
      <c r="A105" s="3" t="s">
        <v>390</v>
      </c>
      <c r="F105" s="14"/>
      <c r="G105" s="3"/>
    </row>
    <row r="106" spans="1:7">
      <c r="A106" s="45" t="s">
        <v>22</v>
      </c>
      <c r="B106" s="45" t="s">
        <v>23</v>
      </c>
      <c r="C106" s="45" t="s">
        <v>15</v>
      </c>
      <c r="D106" s="46" t="s">
        <v>24</v>
      </c>
      <c r="E106" s="46" t="s">
        <v>25</v>
      </c>
      <c r="F106" s="46" t="s">
        <v>26</v>
      </c>
      <c r="G106" s="3"/>
    </row>
    <row r="107" spans="1:7">
      <c r="A107" s="51" t="s">
        <v>396</v>
      </c>
      <c r="B107" s="52" t="s">
        <v>58</v>
      </c>
      <c r="C107" s="74">
        <f>C100*(E39)</f>
        <v>936</v>
      </c>
      <c r="D107" s="76">
        <v>21.65</v>
      </c>
      <c r="E107" s="62">
        <f>C107*D107</f>
        <v>20264.399999999998</v>
      </c>
      <c r="F107" s="14"/>
      <c r="G107" s="3"/>
    </row>
    <row r="108" spans="1:7">
      <c r="A108" s="51" t="str">
        <f>+A102</f>
        <v>Motorista</v>
      </c>
      <c r="B108" s="52" t="s">
        <v>58</v>
      </c>
      <c r="C108" s="74">
        <f>C100*(E40)</f>
        <v>312</v>
      </c>
      <c r="D108" s="76">
        <v>14.69</v>
      </c>
      <c r="E108" s="62">
        <f>C108*D108</f>
        <v>4583.28</v>
      </c>
      <c r="F108" s="14"/>
      <c r="G108" s="3"/>
    </row>
    <row r="109" spans="1:7">
      <c r="A109" s="51" t="str">
        <f>A103</f>
        <v>Fiscal de Coleta (Supervisor)</v>
      </c>
      <c r="B109" s="52" t="s">
        <v>58</v>
      </c>
      <c r="C109" s="74">
        <f>C100*(E41)</f>
        <v>52</v>
      </c>
      <c r="D109" s="76">
        <v>21.65</v>
      </c>
      <c r="E109" s="62">
        <f>C109*D109</f>
        <v>1125.8</v>
      </c>
      <c r="F109" s="14"/>
      <c r="G109" s="3"/>
    </row>
    <row r="110" spans="1:7">
      <c r="F110" s="75">
        <f>SUM(E107:E109)</f>
        <v>25973.479999999996</v>
      </c>
      <c r="G110" s="3"/>
    </row>
    <row r="111" spans="1:7">
      <c r="A111" s="3" t="s">
        <v>391</v>
      </c>
      <c r="F111" s="14"/>
      <c r="G111" s="3"/>
    </row>
    <row r="112" spans="1:7">
      <c r="A112" s="45" t="s">
        <v>22</v>
      </c>
      <c r="B112" s="45" t="s">
        <v>23</v>
      </c>
      <c r="C112" s="45" t="s">
        <v>15</v>
      </c>
      <c r="D112" s="46" t="s">
        <v>24</v>
      </c>
      <c r="E112" s="46" t="s">
        <v>25</v>
      </c>
      <c r="F112" s="46" t="s">
        <v>26</v>
      </c>
      <c r="G112" s="3"/>
    </row>
    <row r="113" spans="1:7">
      <c r="A113" s="51" t="s">
        <v>55</v>
      </c>
      <c r="B113" s="52" t="s">
        <v>58</v>
      </c>
      <c r="C113" s="74">
        <f>C63</f>
        <v>36</v>
      </c>
      <c r="D113" s="76">
        <v>0</v>
      </c>
      <c r="E113" s="62">
        <f>C113*D113</f>
        <v>0</v>
      </c>
      <c r="F113" s="14"/>
      <c r="G113" s="3"/>
    </row>
    <row r="114" spans="1:7">
      <c r="A114" s="51" t="s">
        <v>369</v>
      </c>
      <c r="B114" s="52" t="s">
        <v>58</v>
      </c>
      <c r="C114" s="74">
        <v>2</v>
      </c>
      <c r="D114" s="76">
        <v>110.4</v>
      </c>
      <c r="E114" s="62">
        <f>C114*D114</f>
        <v>220.8</v>
      </c>
      <c r="F114" s="14"/>
      <c r="G114" s="3"/>
    </row>
    <row r="115" spans="1:7">
      <c r="A115" s="51" t="str">
        <f>+A108</f>
        <v>Motorista</v>
      </c>
      <c r="B115" s="52" t="s">
        <v>58</v>
      </c>
      <c r="C115" s="74">
        <f>C78</f>
        <v>12</v>
      </c>
      <c r="D115" s="76">
        <v>110.4</v>
      </c>
      <c r="E115" s="62">
        <f>C115*D115</f>
        <v>1324.8000000000002</v>
      </c>
      <c r="F115" s="14"/>
      <c r="G115" s="3"/>
    </row>
    <row r="116" spans="1:7">
      <c r="D116" s="61" t="s">
        <v>43</v>
      </c>
      <c r="E116" s="62">
        <f>$B$49</f>
        <v>1</v>
      </c>
      <c r="F116" s="75">
        <f>SUM(E113:E115)*E116</f>
        <v>1545.6000000000001</v>
      </c>
      <c r="G116" s="3"/>
    </row>
    <row r="117" spans="1:7" ht="7.5" customHeight="1">
      <c r="D117" s="61"/>
      <c r="E117" s="227"/>
      <c r="F117" s="311"/>
      <c r="G117" s="3"/>
    </row>
    <row r="118" spans="1:7">
      <c r="A118" s="3" t="s">
        <v>392</v>
      </c>
      <c r="D118" s="61"/>
      <c r="E118" s="227"/>
      <c r="F118" s="311"/>
      <c r="G118" s="3"/>
    </row>
    <row r="119" spans="1:7">
      <c r="A119" s="97" t="s">
        <v>22</v>
      </c>
      <c r="B119" s="97" t="s">
        <v>23</v>
      </c>
      <c r="C119" s="97" t="s">
        <v>15</v>
      </c>
      <c r="D119" s="98" t="s">
        <v>24</v>
      </c>
      <c r="E119" s="98" t="s">
        <v>25</v>
      </c>
      <c r="F119" s="46" t="s">
        <v>26</v>
      </c>
      <c r="G119" s="3"/>
    </row>
    <row r="120" spans="1:7">
      <c r="A120" s="312" t="s">
        <v>375</v>
      </c>
      <c r="B120" s="312" t="s">
        <v>23</v>
      </c>
      <c r="C120" s="312">
        <v>36</v>
      </c>
      <c r="D120" s="230">
        <v>24.1</v>
      </c>
      <c r="E120" s="231">
        <f>C120*D120</f>
        <v>867.6</v>
      </c>
      <c r="F120" s="311"/>
      <c r="G120" s="3"/>
    </row>
    <row r="121" spans="1:7">
      <c r="A121" s="312" t="s">
        <v>376</v>
      </c>
      <c r="B121" s="312"/>
      <c r="C121" s="312"/>
      <c r="D121" s="230"/>
      <c r="E121" s="231">
        <v>0</v>
      </c>
      <c r="F121" s="46">
        <f>E120</f>
        <v>867.6</v>
      </c>
      <c r="G121" s="3"/>
    </row>
    <row r="122" spans="1:7">
      <c r="D122" s="61"/>
      <c r="E122" s="227"/>
      <c r="F122" s="311"/>
      <c r="G122" s="3"/>
    </row>
    <row r="123" spans="1:7">
      <c r="A123" s="3" t="s">
        <v>393</v>
      </c>
      <c r="D123" s="61"/>
      <c r="E123" s="227"/>
      <c r="F123" s="311"/>
      <c r="G123" s="3"/>
    </row>
    <row r="124" spans="1:7">
      <c r="A124" s="97" t="s">
        <v>22</v>
      </c>
      <c r="B124" s="97" t="s">
        <v>23</v>
      </c>
      <c r="C124" s="97" t="s">
        <v>15</v>
      </c>
      <c r="D124" s="98" t="s">
        <v>24</v>
      </c>
      <c r="E124" s="98" t="s">
        <v>25</v>
      </c>
      <c r="F124" s="46" t="s">
        <v>26</v>
      </c>
      <c r="G124" s="3"/>
    </row>
    <row r="125" spans="1:7">
      <c r="A125" s="312" t="s">
        <v>397</v>
      </c>
      <c r="B125" s="312" t="s">
        <v>23</v>
      </c>
      <c r="C125" s="312">
        <v>12</v>
      </c>
      <c r="D125" s="230">
        <v>90.6</v>
      </c>
      <c r="E125" s="231">
        <f>C125*D125</f>
        <v>1087.1999999999998</v>
      </c>
      <c r="F125" s="311"/>
      <c r="G125" s="3"/>
    </row>
    <row r="126" spans="1:7">
      <c r="A126" s="312" t="s">
        <v>378</v>
      </c>
      <c r="B126" s="312"/>
      <c r="C126" s="312"/>
      <c r="D126" s="230"/>
      <c r="E126" s="231">
        <v>0</v>
      </c>
      <c r="F126" s="46">
        <f>E125</f>
        <v>1087.1999999999998</v>
      </c>
      <c r="G126" s="3"/>
    </row>
    <row r="127" spans="1:7">
      <c r="D127" s="61"/>
      <c r="E127" s="227"/>
      <c r="F127" s="311"/>
      <c r="G127" s="3"/>
    </row>
    <row r="128" spans="1:7">
      <c r="A128" s="3" t="s">
        <v>394</v>
      </c>
      <c r="D128" s="61"/>
      <c r="E128" s="227"/>
      <c r="F128" s="311"/>
      <c r="G128" s="3"/>
    </row>
    <row r="129" spans="1:7">
      <c r="A129" s="45" t="s">
        <v>22</v>
      </c>
      <c r="B129" s="45" t="s">
        <v>23</v>
      </c>
      <c r="C129" s="45" t="s">
        <v>15</v>
      </c>
      <c r="D129" s="46" t="s">
        <v>24</v>
      </c>
      <c r="E129" s="46" t="s">
        <v>25</v>
      </c>
      <c r="F129" s="46" t="s">
        <v>26</v>
      </c>
      <c r="G129" s="3"/>
    </row>
    <row r="130" spans="1:7">
      <c r="A130" s="51" t="s">
        <v>55</v>
      </c>
      <c r="B130" s="52" t="s">
        <v>58</v>
      </c>
      <c r="C130" s="74">
        <f>C63</f>
        <v>36</v>
      </c>
      <c r="D130" s="76">
        <v>80</v>
      </c>
      <c r="E130" s="62">
        <f>C130*D130</f>
        <v>2880</v>
      </c>
      <c r="F130" s="14"/>
      <c r="G130" s="3"/>
    </row>
    <row r="131" spans="1:7">
      <c r="A131" s="312" t="s">
        <v>374</v>
      </c>
      <c r="B131" s="312"/>
      <c r="C131" s="312"/>
      <c r="D131" s="230"/>
      <c r="E131" s="231">
        <v>0</v>
      </c>
      <c r="F131" s="46">
        <f>E130</f>
        <v>2880</v>
      </c>
      <c r="G131" s="3"/>
    </row>
    <row r="132" spans="1:7">
      <c r="G132" s="3"/>
    </row>
    <row r="133" spans="1:7" ht="2.25" customHeight="1">
      <c r="G133" s="3"/>
    </row>
    <row r="134" spans="1:7">
      <c r="A134" s="77" t="s">
        <v>59</v>
      </c>
      <c r="B134" s="78"/>
      <c r="C134" s="78"/>
      <c r="D134" s="8"/>
      <c r="E134" s="79"/>
      <c r="F134" s="75">
        <f>F116+F110+F104+F79+F64+F126+F131+F121+F95</f>
        <v>407372.08293171343</v>
      </c>
      <c r="G134" s="3"/>
    </row>
    <row r="135" spans="1:7" ht="9" customHeight="1"/>
    <row r="136" spans="1:7">
      <c r="A136" s="15" t="s">
        <v>60</v>
      </c>
      <c r="G136" s="3"/>
    </row>
    <row r="137" spans="1:7" ht="13.9" customHeight="1">
      <c r="A137" s="3" t="s">
        <v>365</v>
      </c>
      <c r="G137" s="3"/>
    </row>
    <row r="138" spans="1:7" ht="27.75" customHeight="1">
      <c r="A138" s="45" t="s">
        <v>22</v>
      </c>
      <c r="B138" s="45" t="s">
        <v>23</v>
      </c>
      <c r="C138" s="80" t="s">
        <v>61</v>
      </c>
      <c r="D138" s="46" t="s">
        <v>24</v>
      </c>
      <c r="E138" s="46" t="s">
        <v>25</v>
      </c>
      <c r="F138" s="46" t="s">
        <v>26</v>
      </c>
      <c r="G138" s="3"/>
    </row>
    <row r="139" spans="1:7" ht="13.15" customHeight="1">
      <c r="A139" s="51" t="s">
        <v>364</v>
      </c>
      <c r="B139" s="52" t="s">
        <v>58</v>
      </c>
      <c r="C139" s="304">
        <v>6</v>
      </c>
      <c r="D139" s="49">
        <v>160</v>
      </c>
      <c r="E139" s="50">
        <f t="shared" ref="E139:E150" si="1">IFERROR(D139/C139,0)</f>
        <v>26.666666666666668</v>
      </c>
      <c r="G139" s="3"/>
    </row>
    <row r="140" spans="1:7" ht="13.15" customHeight="1">
      <c r="A140" s="51" t="s">
        <v>62</v>
      </c>
      <c r="B140" s="52" t="s">
        <v>58</v>
      </c>
      <c r="C140" s="304">
        <v>4</v>
      </c>
      <c r="D140" s="49">
        <v>78.33</v>
      </c>
      <c r="E140" s="50">
        <f t="shared" si="1"/>
        <v>19.5825</v>
      </c>
      <c r="G140" s="3"/>
    </row>
    <row r="141" spans="1:7" ht="13.15" customHeight="1">
      <c r="A141" s="51" t="s">
        <v>372</v>
      </c>
      <c r="B141" s="52" t="s">
        <v>58</v>
      </c>
      <c r="C141" s="304">
        <v>4</v>
      </c>
      <c r="D141" s="49">
        <v>81</v>
      </c>
      <c r="E141" s="50">
        <f t="shared" si="1"/>
        <v>20.25</v>
      </c>
      <c r="G141" s="3"/>
    </row>
    <row r="142" spans="1:7">
      <c r="A142" s="51" t="s">
        <v>63</v>
      </c>
      <c r="B142" s="52" t="s">
        <v>58</v>
      </c>
      <c r="C142" s="304">
        <v>4</v>
      </c>
      <c r="D142" s="49">
        <v>45</v>
      </c>
      <c r="E142" s="50">
        <f t="shared" si="1"/>
        <v>11.25</v>
      </c>
      <c r="G142" s="3"/>
    </row>
    <row r="143" spans="1:7" ht="13.15" customHeight="1">
      <c r="A143" s="51" t="s">
        <v>64</v>
      </c>
      <c r="B143" s="52" t="s">
        <v>58</v>
      </c>
      <c r="C143" s="304">
        <v>3</v>
      </c>
      <c r="D143" s="49">
        <v>15.62</v>
      </c>
      <c r="E143" s="50">
        <f t="shared" si="1"/>
        <v>5.2066666666666661</v>
      </c>
      <c r="G143" s="3"/>
    </row>
    <row r="144" spans="1:7" ht="13.9" customHeight="1">
      <c r="A144" s="51" t="s">
        <v>65</v>
      </c>
      <c r="B144" s="52" t="s">
        <v>66</v>
      </c>
      <c r="C144" s="304">
        <v>6</v>
      </c>
      <c r="D144" s="49">
        <v>88.69</v>
      </c>
      <c r="E144" s="50">
        <f t="shared" si="1"/>
        <v>14.781666666666666</v>
      </c>
      <c r="G144" s="3"/>
    </row>
    <row r="145" spans="1:64" ht="13.15" customHeight="1">
      <c r="A145" s="51" t="s">
        <v>67</v>
      </c>
      <c r="B145" s="52" t="s">
        <v>66</v>
      </c>
      <c r="C145" s="304">
        <v>3</v>
      </c>
      <c r="D145" s="49">
        <v>8.16</v>
      </c>
      <c r="E145" s="50">
        <f t="shared" si="1"/>
        <v>2.72</v>
      </c>
    </row>
    <row r="146" spans="1:64">
      <c r="A146" s="51" t="s">
        <v>68</v>
      </c>
      <c r="B146" s="52" t="s">
        <v>58</v>
      </c>
      <c r="C146" s="304">
        <v>4</v>
      </c>
      <c r="D146" s="49">
        <v>67.62</v>
      </c>
      <c r="E146" s="50">
        <f t="shared" si="1"/>
        <v>16.905000000000001</v>
      </c>
    </row>
    <row r="147" spans="1:64">
      <c r="A147" s="82" t="s">
        <v>69</v>
      </c>
      <c r="B147" s="83" t="s">
        <v>58</v>
      </c>
      <c r="C147" s="304">
        <v>6</v>
      </c>
      <c r="D147" s="49">
        <v>25.75</v>
      </c>
      <c r="E147" s="50">
        <f t="shared" si="1"/>
        <v>4.291666666666667</v>
      </c>
      <c r="F147" s="84"/>
      <c r="G147" s="84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  <c r="BH147" s="85"/>
      <c r="BI147" s="85"/>
      <c r="BJ147" s="85"/>
      <c r="BK147" s="85"/>
      <c r="BL147" s="85"/>
    </row>
    <row r="148" spans="1:64">
      <c r="A148" s="51" t="s">
        <v>70</v>
      </c>
      <c r="B148" s="52" t="s">
        <v>66</v>
      </c>
      <c r="C148" s="81">
        <v>0.25</v>
      </c>
      <c r="D148" s="49">
        <v>15.48</v>
      </c>
      <c r="E148" s="50">
        <f t="shared" si="1"/>
        <v>61.92</v>
      </c>
    </row>
    <row r="149" spans="1:64">
      <c r="A149" s="51" t="s">
        <v>373</v>
      </c>
      <c r="B149" s="52" t="s">
        <v>58</v>
      </c>
      <c r="C149" s="310">
        <v>6</v>
      </c>
      <c r="D149" s="49">
        <v>23.71</v>
      </c>
      <c r="E149" s="50">
        <f t="shared" si="1"/>
        <v>3.9516666666666667</v>
      </c>
    </row>
    <row r="150" spans="1:64" ht="13.15" customHeight="1">
      <c r="A150" s="51" t="s">
        <v>71</v>
      </c>
      <c r="B150" s="52" t="s">
        <v>72</v>
      </c>
      <c r="C150" s="304">
        <v>1.5</v>
      </c>
      <c r="D150" s="49">
        <v>14.16</v>
      </c>
      <c r="E150" s="50">
        <f t="shared" si="1"/>
        <v>9.44</v>
      </c>
    </row>
    <row r="151" spans="1:64">
      <c r="A151" s="51" t="s">
        <v>73</v>
      </c>
      <c r="B151" s="52" t="s">
        <v>74</v>
      </c>
      <c r="C151" s="86">
        <v>1</v>
      </c>
      <c r="D151" s="49">
        <v>128</v>
      </c>
      <c r="E151" s="54">
        <f>C151*D151</f>
        <v>128</v>
      </c>
    </row>
    <row r="152" spans="1:64">
      <c r="A152" s="51" t="s">
        <v>41</v>
      </c>
      <c r="B152" s="52" t="s">
        <v>42</v>
      </c>
      <c r="C152" s="225">
        <f>E39</f>
        <v>36</v>
      </c>
      <c r="D152" s="54">
        <f>+SUM(E139:E151)</f>
        <v>324.96583333333331</v>
      </c>
      <c r="E152" s="54">
        <f>C152*D152</f>
        <v>11698.769999999999</v>
      </c>
    </row>
    <row r="153" spans="1:64">
      <c r="D153" s="61" t="s">
        <v>43</v>
      </c>
      <c r="E153" s="62">
        <f>$B$49</f>
        <v>1</v>
      </c>
      <c r="F153" s="63">
        <f>E152*E153</f>
        <v>11698.769999999999</v>
      </c>
    </row>
    <row r="154" spans="1:64" ht="13.9" customHeight="1">
      <c r="A154" s="3" t="s">
        <v>366</v>
      </c>
    </row>
    <row r="155" spans="1:64" ht="6.75" customHeight="1"/>
    <row r="156" spans="1:64" ht="24">
      <c r="A156" s="45" t="s">
        <v>22</v>
      </c>
      <c r="B156" s="45" t="s">
        <v>23</v>
      </c>
      <c r="C156" s="80" t="s">
        <v>61</v>
      </c>
      <c r="D156" s="46" t="s">
        <v>24</v>
      </c>
      <c r="E156" s="46" t="s">
        <v>25</v>
      </c>
      <c r="F156" s="46" t="s">
        <v>26</v>
      </c>
    </row>
    <row r="157" spans="1:64">
      <c r="A157" s="51" t="s">
        <v>364</v>
      </c>
      <c r="B157" s="52" t="s">
        <v>58</v>
      </c>
      <c r="C157" s="304">
        <v>12</v>
      </c>
      <c r="D157" s="54">
        <f>+D139</f>
        <v>160</v>
      </c>
      <c r="E157" s="50">
        <f t="shared" ref="E157:E164" si="2">IFERROR(D157/C157,0)</f>
        <v>13.333333333333334</v>
      </c>
    </row>
    <row r="158" spans="1:64">
      <c r="A158" s="51" t="s">
        <v>62</v>
      </c>
      <c r="B158" s="52" t="s">
        <v>58</v>
      </c>
      <c r="C158" s="304">
        <v>2</v>
      </c>
      <c r="D158" s="54">
        <f>+D140</f>
        <v>78.33</v>
      </c>
      <c r="E158" s="50">
        <f t="shared" si="2"/>
        <v>39.164999999999999</v>
      </c>
    </row>
    <row r="159" spans="1:64">
      <c r="A159" s="51" t="s">
        <v>372</v>
      </c>
      <c r="B159" s="52" t="s">
        <v>58</v>
      </c>
      <c r="C159" s="304">
        <v>4</v>
      </c>
      <c r="D159" s="54">
        <f>D141</f>
        <v>81</v>
      </c>
      <c r="E159" s="50">
        <f t="shared" si="2"/>
        <v>20.25</v>
      </c>
    </row>
    <row r="160" spans="1:64">
      <c r="A160" s="51" t="s">
        <v>63</v>
      </c>
      <c r="B160" s="52" t="s">
        <v>58</v>
      </c>
      <c r="C160" s="304">
        <v>3</v>
      </c>
      <c r="D160" s="54">
        <f>+D142</f>
        <v>45</v>
      </c>
      <c r="E160" s="50">
        <f t="shared" si="2"/>
        <v>15</v>
      </c>
    </row>
    <row r="161" spans="1:11">
      <c r="A161" s="51" t="s">
        <v>65</v>
      </c>
      <c r="B161" s="52" t="s">
        <v>66</v>
      </c>
      <c r="C161" s="304">
        <v>6</v>
      </c>
      <c r="D161" s="54">
        <f>+D144</f>
        <v>88.69</v>
      </c>
      <c r="E161" s="50">
        <f t="shared" si="2"/>
        <v>14.781666666666666</v>
      </c>
    </row>
    <row r="162" spans="1:11">
      <c r="A162" s="51" t="s">
        <v>68</v>
      </c>
      <c r="B162" s="52" t="s">
        <v>58</v>
      </c>
      <c r="C162" s="304">
        <v>6</v>
      </c>
      <c r="D162" s="54">
        <f>+D146</f>
        <v>67.62</v>
      </c>
      <c r="E162" s="50">
        <f t="shared" si="2"/>
        <v>11.270000000000001</v>
      </c>
      <c r="G162" s="3"/>
    </row>
    <row r="163" spans="1:11">
      <c r="A163" s="51" t="s">
        <v>373</v>
      </c>
      <c r="B163" s="52" t="s">
        <v>58</v>
      </c>
      <c r="C163" s="304">
        <v>6</v>
      </c>
      <c r="D163" s="54">
        <f>D149</f>
        <v>23.71</v>
      </c>
      <c r="E163" s="50">
        <f t="shared" si="2"/>
        <v>3.9516666666666667</v>
      </c>
      <c r="G163" s="3"/>
    </row>
    <row r="164" spans="1:11">
      <c r="A164" s="51" t="s">
        <v>71</v>
      </c>
      <c r="B164" s="52" t="s">
        <v>72</v>
      </c>
      <c r="C164" s="304">
        <v>2</v>
      </c>
      <c r="D164" s="54">
        <f>+D150</f>
        <v>14.16</v>
      </c>
      <c r="E164" s="50">
        <f t="shared" si="2"/>
        <v>7.08</v>
      </c>
      <c r="G164" s="3"/>
    </row>
    <row r="165" spans="1:11">
      <c r="A165" s="51" t="s">
        <v>73</v>
      </c>
      <c r="B165" s="52" t="s">
        <v>74</v>
      </c>
      <c r="C165" s="86">
        <v>1</v>
      </c>
      <c r="D165" s="49">
        <v>128</v>
      </c>
      <c r="E165" s="54">
        <f>C165*D165</f>
        <v>128</v>
      </c>
      <c r="G165" s="3"/>
    </row>
    <row r="166" spans="1:11">
      <c r="A166" s="51" t="s">
        <v>41</v>
      </c>
      <c r="B166" s="52" t="s">
        <v>42</v>
      </c>
      <c r="C166" s="260">
        <v>14</v>
      </c>
      <c r="D166" s="54">
        <f>+SUM(E157:E165)</f>
        <v>252.83166666666665</v>
      </c>
      <c r="E166" s="54">
        <f>C166*D166</f>
        <v>3539.643333333333</v>
      </c>
      <c r="G166" s="3"/>
    </row>
    <row r="167" spans="1:11">
      <c r="D167" s="61" t="s">
        <v>43</v>
      </c>
      <c r="E167" s="62">
        <f>$B$49</f>
        <v>1</v>
      </c>
      <c r="F167" s="63">
        <f>E166*E167</f>
        <v>3539.643333333333</v>
      </c>
      <c r="G167" s="3"/>
    </row>
    <row r="168" spans="1:11" ht="11.25" customHeight="1">
      <c r="G168" s="3"/>
    </row>
    <row r="169" spans="1:11">
      <c r="A169" s="77" t="s">
        <v>75</v>
      </c>
      <c r="B169" s="40"/>
      <c r="C169" s="40"/>
      <c r="D169" s="29"/>
      <c r="E169" s="87"/>
      <c r="F169" s="88">
        <f>+F153+F167</f>
        <v>15238.413333333332</v>
      </c>
      <c r="G169" s="3"/>
    </row>
    <row r="170" spans="1:11" ht="6" customHeight="1">
      <c r="G170" s="3"/>
    </row>
    <row r="171" spans="1:11">
      <c r="A171" s="15" t="s">
        <v>76</v>
      </c>
      <c r="G171" s="3"/>
      <c r="H171" s="299">
        <v>541215</v>
      </c>
      <c r="I171" s="299">
        <v>465854</v>
      </c>
      <c r="J171" s="300">
        <v>531.03800000000001</v>
      </c>
      <c r="K171" s="299">
        <v>538950</v>
      </c>
    </row>
    <row r="172" spans="1:11" ht="13.5" customHeight="1">
      <c r="A172" s="5" t="s">
        <v>401</v>
      </c>
      <c r="G172" s="3"/>
    </row>
    <row r="173" spans="1:11" ht="11.25" customHeight="1">
      <c r="A173" s="5"/>
      <c r="G173" s="3"/>
    </row>
    <row r="174" spans="1:11">
      <c r="A174" s="350" t="s">
        <v>77</v>
      </c>
      <c r="G174" s="3"/>
    </row>
    <row r="175" spans="1:11">
      <c r="A175" s="45" t="s">
        <v>22</v>
      </c>
      <c r="B175" s="45" t="s">
        <v>23</v>
      </c>
      <c r="C175" s="45" t="s">
        <v>15</v>
      </c>
      <c r="D175" s="46" t="s">
        <v>24</v>
      </c>
      <c r="E175" s="46" t="s">
        <v>25</v>
      </c>
      <c r="F175" s="46" t="s">
        <v>26</v>
      </c>
      <c r="G175" s="3"/>
    </row>
    <row r="176" spans="1:11">
      <c r="A176" s="47" t="s">
        <v>78</v>
      </c>
      <c r="B176" s="48" t="s">
        <v>58</v>
      </c>
      <c r="C176" s="48">
        <v>1</v>
      </c>
      <c r="D176" s="49">
        <v>587097.80000000005</v>
      </c>
      <c r="E176" s="50">
        <f>C176*D176</f>
        <v>587097.80000000005</v>
      </c>
      <c r="G176" s="3"/>
    </row>
    <row r="177" spans="1:10">
      <c r="A177" s="51" t="s">
        <v>79</v>
      </c>
      <c r="B177" s="52" t="s">
        <v>80</v>
      </c>
      <c r="C177" s="60">
        <v>10</v>
      </c>
      <c r="D177" s="54"/>
      <c r="E177" s="54"/>
      <c r="G177" s="3"/>
    </row>
    <row r="178" spans="1:10">
      <c r="A178" s="51" t="s">
        <v>81</v>
      </c>
      <c r="B178" s="52" t="s">
        <v>80</v>
      </c>
      <c r="C178" s="223">
        <v>10</v>
      </c>
      <c r="D178" s="54"/>
      <c r="E178" s="54"/>
      <c r="F178" s="90"/>
      <c r="I178" s="91"/>
      <c r="J178" s="91"/>
    </row>
    <row r="179" spans="1:10">
      <c r="A179" s="51" t="s">
        <v>82</v>
      </c>
      <c r="B179" s="52" t="s">
        <v>4</v>
      </c>
      <c r="C179" s="59">
        <f>IFERROR(VLOOKUP(C177,'5__Depreciação'!A3:B17,2,0),0)</f>
        <v>65.180000000000007</v>
      </c>
      <c r="D179" s="54">
        <f>E176</f>
        <v>587097.80000000005</v>
      </c>
      <c r="E179" s="54">
        <f>C179*D179/100</f>
        <v>382670.34604000009</v>
      </c>
    </row>
    <row r="180" spans="1:10" ht="13.5" thickBot="1">
      <c r="A180" s="92" t="s">
        <v>83</v>
      </c>
      <c r="B180" s="93" t="s">
        <v>28</v>
      </c>
      <c r="C180" s="93">
        <f>C177*12</f>
        <v>120</v>
      </c>
      <c r="D180" s="94">
        <f>IF(C178&lt;=C177,E179,0)</f>
        <v>382670.34604000009</v>
      </c>
      <c r="E180" s="94">
        <f>IFERROR(D180/C180,0)</f>
        <v>3188.919550333334</v>
      </c>
    </row>
    <row r="181" spans="1:10" ht="13.5" thickTop="1">
      <c r="A181" s="47" t="s">
        <v>84</v>
      </c>
      <c r="B181" s="48" t="s">
        <v>58</v>
      </c>
      <c r="C181" s="48">
        <v>1</v>
      </c>
      <c r="D181" s="49">
        <v>266200</v>
      </c>
      <c r="E181" s="50">
        <f>C181*D181</f>
        <v>266200</v>
      </c>
      <c r="G181" s="197"/>
    </row>
    <row r="182" spans="1:10">
      <c r="A182" s="51" t="s">
        <v>85</v>
      </c>
      <c r="B182" s="52" t="s">
        <v>80</v>
      </c>
      <c r="C182" s="60">
        <v>10</v>
      </c>
      <c r="D182" s="54"/>
      <c r="E182" s="54"/>
    </row>
    <row r="183" spans="1:10">
      <c r="A183" s="51" t="s">
        <v>86</v>
      </c>
      <c r="B183" s="52" t="s">
        <v>80</v>
      </c>
      <c r="C183" s="223">
        <v>10</v>
      </c>
      <c r="D183" s="54"/>
      <c r="E183" s="54"/>
      <c r="F183" s="90"/>
      <c r="I183" s="91"/>
      <c r="J183" s="91"/>
    </row>
    <row r="184" spans="1:10">
      <c r="A184" s="51" t="s">
        <v>87</v>
      </c>
      <c r="B184" s="52" t="s">
        <v>4</v>
      </c>
      <c r="C184" s="59">
        <f>IFERROR(VLOOKUP(C182,'5__Depreciação'!A3:B17,2,0),0)</f>
        <v>65.180000000000007</v>
      </c>
      <c r="D184" s="54">
        <f>E181</f>
        <v>266200</v>
      </c>
      <c r="E184" s="54">
        <f>C184*D184/100</f>
        <v>173509.16</v>
      </c>
    </row>
    <row r="185" spans="1:10">
      <c r="A185" s="66" t="s">
        <v>88</v>
      </c>
      <c r="B185" s="39" t="s">
        <v>28</v>
      </c>
      <c r="C185" s="39">
        <f>C182*12</f>
        <v>120</v>
      </c>
      <c r="D185" s="10">
        <f>IF(C183&lt;=C182,E184,0)</f>
        <v>173509.16</v>
      </c>
      <c r="E185" s="10">
        <f>IFERROR(D185/C185,0)</f>
        <v>1445.9096666666667</v>
      </c>
    </row>
    <row r="186" spans="1:10">
      <c r="A186" s="55" t="s">
        <v>89</v>
      </c>
      <c r="B186" s="56"/>
      <c r="C186" s="56"/>
      <c r="D186" s="57"/>
      <c r="E186" s="58">
        <f>E180+E185</f>
        <v>4634.8292170000004</v>
      </c>
    </row>
    <row r="187" spans="1:10">
      <c r="A187" s="66" t="s">
        <v>90</v>
      </c>
      <c r="B187" s="39" t="s">
        <v>58</v>
      </c>
      <c r="C187" s="60">
        <v>6</v>
      </c>
      <c r="D187" s="10">
        <f>E186</f>
        <v>4634.8292170000004</v>
      </c>
      <c r="E187" s="58">
        <f>C187*D187</f>
        <v>27808.975302000003</v>
      </c>
    </row>
    <row r="188" spans="1:10">
      <c r="A188" s="95"/>
      <c r="B188" s="95"/>
      <c r="C188" s="95"/>
      <c r="D188" s="61" t="s">
        <v>43</v>
      </c>
      <c r="E188" s="62">
        <v>1.1000000000000001</v>
      </c>
      <c r="F188" s="88">
        <f>E187*E188</f>
        <v>30589.872832200006</v>
      </c>
    </row>
    <row r="189" spans="1:10" ht="11.25" customHeight="1"/>
    <row r="190" spans="1:10" ht="11.25" customHeight="1">
      <c r="A190" s="96" t="s">
        <v>91</v>
      </c>
    </row>
    <row r="191" spans="1:10" ht="11.25" customHeight="1"/>
    <row r="192" spans="1:10">
      <c r="A192" s="89" t="s">
        <v>92</v>
      </c>
    </row>
    <row r="193" spans="1:10">
      <c r="A193" s="97" t="s">
        <v>22</v>
      </c>
      <c r="B193" s="97" t="s">
        <v>23</v>
      </c>
      <c r="C193" s="97" t="s">
        <v>15</v>
      </c>
      <c r="D193" s="46" t="s">
        <v>24</v>
      </c>
      <c r="E193" s="98" t="s">
        <v>25</v>
      </c>
      <c r="F193" s="46" t="s">
        <v>26</v>
      </c>
      <c r="I193" s="91"/>
      <c r="J193" s="91"/>
    </row>
    <row r="194" spans="1:10">
      <c r="A194" s="51" t="s">
        <v>93</v>
      </c>
      <c r="B194" s="52" t="s">
        <v>58</v>
      </c>
      <c r="C194" s="48">
        <v>1</v>
      </c>
      <c r="D194" s="10">
        <f>D176</f>
        <v>587097.80000000005</v>
      </c>
      <c r="E194" s="54">
        <f>C194*D194</f>
        <v>587097.80000000005</v>
      </c>
      <c r="F194" s="90"/>
      <c r="I194" s="91"/>
      <c r="J194" s="91"/>
    </row>
    <row r="195" spans="1:10">
      <c r="A195" s="51" t="s">
        <v>94</v>
      </c>
      <c r="B195" s="52" t="s">
        <v>4</v>
      </c>
      <c r="C195" s="53">
        <v>14.25</v>
      </c>
      <c r="D195" s="54"/>
      <c r="E195" s="54"/>
      <c r="F195" s="90"/>
      <c r="I195" s="91"/>
      <c r="J195" s="91"/>
    </row>
    <row r="196" spans="1:10">
      <c r="A196" s="51" t="s">
        <v>95</v>
      </c>
      <c r="B196" s="52" t="s">
        <v>35</v>
      </c>
      <c r="C196" s="99">
        <f>IFERROR(IF(C178&lt;=C177,E176-(C179/(100*C177)*C178)*E176,E176-E179),0)</f>
        <v>204427.45396000001</v>
      </c>
      <c r="D196" s="54"/>
      <c r="E196" s="54"/>
      <c r="F196" s="90"/>
      <c r="I196" s="91"/>
      <c r="J196" s="91"/>
    </row>
    <row r="197" spans="1:10">
      <c r="A197" s="51" t="s">
        <v>96</v>
      </c>
      <c r="B197" s="52" t="s">
        <v>35</v>
      </c>
      <c r="C197" s="54">
        <f>IFERROR(IF(C178&gt;=C177,C196,((((C196)-(E176-E179))*(((C177-C178)+1)/(2*(C177-C178))))+(E176-E179))),0)</f>
        <v>204427.45396000001</v>
      </c>
      <c r="D197" s="54"/>
      <c r="E197" s="54"/>
      <c r="F197" s="90"/>
      <c r="I197" s="91"/>
      <c r="J197" s="91"/>
    </row>
    <row r="198" spans="1:10" ht="13.5" thickBot="1">
      <c r="A198" s="92" t="s">
        <v>97</v>
      </c>
      <c r="B198" s="93" t="s">
        <v>35</v>
      </c>
      <c r="C198" s="93"/>
      <c r="D198" s="94">
        <f>C195*C197/12/100</f>
        <v>2427.5760157750001</v>
      </c>
      <c r="E198" s="94">
        <f>D198</f>
        <v>2427.5760157750001</v>
      </c>
      <c r="F198" s="90"/>
      <c r="I198" s="91"/>
      <c r="J198" s="91"/>
    </row>
    <row r="199" spans="1:10" ht="13.5" thickTop="1">
      <c r="A199" s="47" t="s">
        <v>98</v>
      </c>
      <c r="B199" s="48" t="s">
        <v>58</v>
      </c>
      <c r="C199" s="48">
        <f>C181</f>
        <v>1</v>
      </c>
      <c r="D199" s="307">
        <f>D181</f>
        <v>266200</v>
      </c>
      <c r="E199" s="50">
        <f>C199*D199</f>
        <v>266200</v>
      </c>
      <c r="F199" s="90"/>
      <c r="I199" s="91"/>
      <c r="J199" s="91"/>
    </row>
    <row r="200" spans="1:10">
      <c r="A200" s="51" t="s">
        <v>94</v>
      </c>
      <c r="B200" s="52" t="s">
        <v>4</v>
      </c>
      <c r="C200" s="226">
        <f>C195</f>
        <v>14.25</v>
      </c>
      <c r="D200" s="54"/>
      <c r="E200" s="54"/>
      <c r="F200" s="90"/>
      <c r="I200" s="91"/>
      <c r="J200" s="91"/>
    </row>
    <row r="201" spans="1:10">
      <c r="A201" s="51" t="s">
        <v>99</v>
      </c>
      <c r="B201" s="52" t="s">
        <v>35</v>
      </c>
      <c r="C201" s="99">
        <f>IFERROR(IF(C183&lt;=C182,E181-(C184/(100*C182)*C183)*E181,E181-E184),0)</f>
        <v>92690.84</v>
      </c>
      <c r="D201" s="54"/>
      <c r="E201" s="54"/>
      <c r="F201" s="90"/>
      <c r="I201" s="91"/>
      <c r="J201" s="91"/>
    </row>
    <row r="202" spans="1:10">
      <c r="A202" s="51" t="s">
        <v>100</v>
      </c>
      <c r="B202" s="52" t="s">
        <v>35</v>
      </c>
      <c r="C202" s="54">
        <f>IFERROR(IF(C183&gt;=C182,C201,((((C201)-(E181-E184))*(((C182-C183)+1)/(2*(C182-C183))))+(E181-E184))),0)</f>
        <v>92690.84</v>
      </c>
      <c r="D202" s="54"/>
      <c r="E202" s="54"/>
      <c r="F202" s="90"/>
      <c r="I202" s="91"/>
      <c r="J202" s="91"/>
    </row>
    <row r="203" spans="1:10">
      <c r="A203" s="66" t="s">
        <v>101</v>
      </c>
      <c r="B203" s="39" t="s">
        <v>35</v>
      </c>
      <c r="C203" s="39"/>
      <c r="D203" s="10">
        <f>C200*C202/12/100</f>
        <v>1100.7037250000001</v>
      </c>
      <c r="E203" s="10">
        <f>D203</f>
        <v>1100.7037250000001</v>
      </c>
      <c r="F203" s="90"/>
      <c r="I203" s="91"/>
      <c r="J203" s="91"/>
    </row>
    <row r="204" spans="1:10">
      <c r="A204" s="55" t="s">
        <v>89</v>
      </c>
      <c r="B204" s="56"/>
      <c r="C204" s="56"/>
      <c r="D204" s="57"/>
      <c r="E204" s="58">
        <f>E198+E203</f>
        <v>3528.2797407750004</v>
      </c>
      <c r="F204" s="90"/>
      <c r="I204" s="91"/>
      <c r="J204" s="91"/>
    </row>
    <row r="205" spans="1:10">
      <c r="A205" s="66" t="s">
        <v>90</v>
      </c>
      <c r="B205" s="39" t="s">
        <v>58</v>
      </c>
      <c r="C205" s="52">
        <f>C187</f>
        <v>6</v>
      </c>
      <c r="D205" s="10">
        <f>E204</f>
        <v>3528.2797407750004</v>
      </c>
      <c r="E205" s="58">
        <f>C205*D205</f>
        <v>21169.678444650002</v>
      </c>
      <c r="F205" s="90"/>
      <c r="I205" s="91"/>
      <c r="J205" s="91"/>
    </row>
    <row r="206" spans="1:10">
      <c r="C206" s="100"/>
      <c r="D206" s="61" t="s">
        <v>43</v>
      </c>
      <c r="E206" s="62">
        <v>1.1000000000000001</v>
      </c>
      <c r="F206" s="88">
        <f>E205*E206</f>
        <v>23286.646289115004</v>
      </c>
      <c r="I206" s="91"/>
      <c r="J206" s="91"/>
    </row>
    <row r="207" spans="1:10">
      <c r="C207" s="100"/>
      <c r="D207" s="61"/>
      <c r="E207" s="227"/>
      <c r="F207" s="228"/>
      <c r="I207" s="91"/>
      <c r="J207" s="91"/>
    </row>
    <row r="208" spans="1:10" hidden="1">
      <c r="A208" s="233" t="s">
        <v>302</v>
      </c>
      <c r="B208" s="234" t="s">
        <v>4</v>
      </c>
      <c r="C208" s="234">
        <v>0</v>
      </c>
      <c r="D208" s="235"/>
      <c r="E208" s="236"/>
      <c r="F208" s="237">
        <f>C208*F206</f>
        <v>0</v>
      </c>
      <c r="I208" s="91"/>
      <c r="J208" s="91"/>
    </row>
    <row r="209" spans="1:10" ht="11.25" hidden="1" customHeight="1">
      <c r="I209" s="91"/>
      <c r="J209" s="91"/>
    </row>
    <row r="210" spans="1:10">
      <c r="A210" s="3" t="s">
        <v>102</v>
      </c>
      <c r="I210" s="91"/>
      <c r="J210" s="91"/>
    </row>
    <row r="211" spans="1:10">
      <c r="A211" s="45" t="s">
        <v>22</v>
      </c>
      <c r="B211" s="45" t="s">
        <v>23</v>
      </c>
      <c r="C211" s="45" t="s">
        <v>15</v>
      </c>
      <c r="D211" s="46" t="s">
        <v>24</v>
      </c>
      <c r="E211" s="46" t="s">
        <v>25</v>
      </c>
      <c r="F211" s="46" t="s">
        <v>26</v>
      </c>
      <c r="I211" s="91"/>
      <c r="J211" s="91"/>
    </row>
    <row r="212" spans="1:10">
      <c r="A212" s="47" t="s">
        <v>103</v>
      </c>
      <c r="B212" s="48" t="s">
        <v>58</v>
      </c>
      <c r="C212" s="50">
        <f>C187</f>
        <v>6</v>
      </c>
      <c r="D212" s="50">
        <f>0.01*($E$176)</f>
        <v>5870.978000000001</v>
      </c>
      <c r="E212" s="50">
        <f>C212*D212</f>
        <v>35225.868000000002</v>
      </c>
      <c r="I212" s="91"/>
      <c r="J212" s="91"/>
    </row>
    <row r="213" spans="1:10">
      <c r="A213" s="51" t="s">
        <v>104</v>
      </c>
      <c r="B213" s="52" t="s">
        <v>58</v>
      </c>
      <c r="C213" s="50">
        <f>C212</f>
        <v>6</v>
      </c>
      <c r="D213" s="76">
        <v>191.2</v>
      </c>
      <c r="E213" s="54">
        <f>C213*D213</f>
        <v>1147.1999999999998</v>
      </c>
      <c r="I213" s="91"/>
      <c r="J213" s="91"/>
    </row>
    <row r="214" spans="1:10">
      <c r="A214" s="51" t="s">
        <v>105</v>
      </c>
      <c r="B214" s="52" t="s">
        <v>58</v>
      </c>
      <c r="C214" s="50">
        <f>C213</f>
        <v>6</v>
      </c>
      <c r="D214" s="76">
        <v>3975.07</v>
      </c>
      <c r="E214" s="54">
        <f>C214*D214</f>
        <v>23850.420000000002</v>
      </c>
      <c r="F214" s="57"/>
      <c r="I214" s="91"/>
      <c r="J214" s="91"/>
    </row>
    <row r="215" spans="1:10">
      <c r="A215" s="66" t="s">
        <v>106</v>
      </c>
      <c r="B215" s="39" t="s">
        <v>28</v>
      </c>
      <c r="C215" s="39">
        <v>12</v>
      </c>
      <c r="D215" s="10">
        <f>SUM(E212:E214)</f>
        <v>60223.487999999998</v>
      </c>
      <c r="E215" s="10">
        <f>D215/C215</f>
        <v>5018.6239999999998</v>
      </c>
      <c r="I215" s="91"/>
      <c r="J215" s="91"/>
    </row>
    <row r="216" spans="1:10">
      <c r="D216" s="61" t="s">
        <v>43</v>
      </c>
      <c r="E216" s="62">
        <v>1</v>
      </c>
      <c r="F216" s="63">
        <f>E215*E216</f>
        <v>5018.6239999999998</v>
      </c>
      <c r="I216" s="91"/>
      <c r="J216" s="91"/>
    </row>
    <row r="217" spans="1:10" ht="6.75" customHeight="1">
      <c r="I217" s="91"/>
      <c r="J217" s="91"/>
    </row>
    <row r="218" spans="1:10">
      <c r="A218" s="3" t="s">
        <v>107</v>
      </c>
      <c r="B218" s="101"/>
      <c r="I218" s="91"/>
      <c r="J218" s="91"/>
    </row>
    <row r="219" spans="1:10" ht="5.25" customHeight="1">
      <c r="B219" s="101"/>
      <c r="I219" s="91"/>
      <c r="J219" s="91"/>
    </row>
    <row r="220" spans="1:10">
      <c r="A220" s="66" t="s">
        <v>108</v>
      </c>
      <c r="B220" s="102">
        <v>29700</v>
      </c>
      <c r="I220" s="91"/>
      <c r="J220" s="91"/>
    </row>
    <row r="221" spans="1:10" ht="9" customHeight="1">
      <c r="B221" s="101"/>
      <c r="I221" s="91"/>
      <c r="J221" s="91"/>
    </row>
    <row r="222" spans="1:10">
      <c r="A222" s="45" t="s">
        <v>22</v>
      </c>
      <c r="B222" s="45" t="s">
        <v>23</v>
      </c>
      <c r="C222" s="45" t="s">
        <v>109</v>
      </c>
      <c r="D222" s="46" t="s">
        <v>24</v>
      </c>
      <c r="E222" s="46" t="s">
        <v>25</v>
      </c>
      <c r="F222" s="46" t="s">
        <v>26</v>
      </c>
      <c r="I222" s="91"/>
      <c r="J222" s="91"/>
    </row>
    <row r="223" spans="1:10">
      <c r="A223" s="47" t="s">
        <v>110</v>
      </c>
      <c r="B223" s="48" t="s">
        <v>111</v>
      </c>
      <c r="C223" s="103">
        <v>2</v>
      </c>
      <c r="D223" s="104">
        <v>6.97</v>
      </c>
      <c r="E223" s="50"/>
      <c r="I223" s="91"/>
      <c r="J223" s="91"/>
    </row>
    <row r="224" spans="1:10">
      <c r="A224" s="51" t="s">
        <v>112</v>
      </c>
      <c r="B224" s="52" t="s">
        <v>113</v>
      </c>
      <c r="C224" s="70">
        <f>B220</f>
        <v>29700</v>
      </c>
      <c r="D224" s="105">
        <f>IFERROR(+D223/C223,"-")</f>
        <v>3.4849999999999999</v>
      </c>
      <c r="E224" s="54">
        <f>IFERROR(C224*D224,"-")</f>
        <v>103504.5</v>
      </c>
      <c r="I224" s="91"/>
      <c r="J224" s="91"/>
    </row>
    <row r="225" spans="1:10">
      <c r="A225" s="51" t="s">
        <v>114</v>
      </c>
      <c r="B225" s="52" t="s">
        <v>115</v>
      </c>
      <c r="C225" s="106">
        <v>2</v>
      </c>
      <c r="D225" s="76">
        <v>33.99</v>
      </c>
      <c r="E225" s="54"/>
      <c r="I225" s="91"/>
      <c r="J225" s="91"/>
    </row>
    <row r="226" spans="1:10">
      <c r="A226" s="51" t="s">
        <v>116</v>
      </c>
      <c r="B226" s="52" t="s">
        <v>113</v>
      </c>
      <c r="C226" s="70">
        <f>C224</f>
        <v>29700</v>
      </c>
      <c r="D226" s="107">
        <f>+C225*D225/1000</f>
        <v>6.7979999999999999E-2</v>
      </c>
      <c r="E226" s="54">
        <f>C226*D226</f>
        <v>2019.0059999999999</v>
      </c>
      <c r="I226" s="91"/>
      <c r="J226" s="91"/>
    </row>
    <row r="227" spans="1:10">
      <c r="A227" s="51" t="s">
        <v>117</v>
      </c>
      <c r="B227" s="52" t="s">
        <v>115</v>
      </c>
      <c r="C227" s="106">
        <v>0.3</v>
      </c>
      <c r="D227" s="76">
        <v>33.5</v>
      </c>
      <c r="E227" s="54"/>
      <c r="I227" s="91"/>
      <c r="J227" s="91"/>
    </row>
    <row r="228" spans="1:10">
      <c r="A228" s="51" t="s">
        <v>118</v>
      </c>
      <c r="B228" s="52" t="s">
        <v>113</v>
      </c>
      <c r="C228" s="70">
        <f>C224</f>
        <v>29700</v>
      </c>
      <c r="D228" s="107">
        <f>+C227*D227/1000</f>
        <v>1.0049999999999998E-2</v>
      </c>
      <c r="E228" s="54">
        <f>C228*D228</f>
        <v>298.48499999999996</v>
      </c>
      <c r="I228" s="91"/>
      <c r="J228" s="91"/>
    </row>
    <row r="229" spans="1:10">
      <c r="A229" s="51" t="s">
        <v>119</v>
      </c>
      <c r="B229" s="52" t="s">
        <v>115</v>
      </c>
      <c r="C229" s="106">
        <v>7.12</v>
      </c>
      <c r="D229" s="76">
        <v>27</v>
      </c>
      <c r="E229" s="54"/>
      <c r="I229" s="91"/>
      <c r="J229" s="91"/>
    </row>
    <row r="230" spans="1:10">
      <c r="A230" s="51" t="s">
        <v>120</v>
      </c>
      <c r="B230" s="52" t="s">
        <v>113</v>
      </c>
      <c r="C230" s="70">
        <f>C224</f>
        <v>29700</v>
      </c>
      <c r="D230" s="107">
        <f>+C229*D229/1000</f>
        <v>0.19224000000000002</v>
      </c>
      <c r="E230" s="54">
        <f>C230*D230</f>
        <v>5709.5280000000002</v>
      </c>
      <c r="I230" s="91"/>
      <c r="J230" s="91"/>
    </row>
    <row r="231" spans="1:10">
      <c r="A231" s="51" t="s">
        <v>121</v>
      </c>
      <c r="B231" s="52" t="s">
        <v>122</v>
      </c>
      <c r="C231" s="106">
        <v>2</v>
      </c>
      <c r="D231" s="76">
        <v>34.31</v>
      </c>
      <c r="E231" s="54"/>
      <c r="I231" s="91"/>
      <c r="J231" s="91"/>
    </row>
    <row r="232" spans="1:10">
      <c r="A232" s="51" t="s">
        <v>123</v>
      </c>
      <c r="B232" s="52" t="s">
        <v>113</v>
      </c>
      <c r="C232" s="70">
        <f>C224</f>
        <v>29700</v>
      </c>
      <c r="D232" s="107">
        <f>+C231*D231/1000</f>
        <v>6.862E-2</v>
      </c>
      <c r="E232" s="54">
        <f>C232*D232</f>
        <v>2038.0140000000001</v>
      </c>
      <c r="I232" s="91"/>
      <c r="J232" s="91"/>
    </row>
    <row r="233" spans="1:10">
      <c r="A233" s="66" t="s">
        <v>124</v>
      </c>
      <c r="B233" s="39" t="s">
        <v>125</v>
      </c>
      <c r="C233" s="108"/>
      <c r="D233" s="109">
        <f>IFERROR(D224+D226+D228+D230+D232,0)</f>
        <v>3.82389</v>
      </c>
      <c r="E233" s="54"/>
      <c r="I233" s="91"/>
      <c r="J233" s="91"/>
    </row>
    <row r="234" spans="1:10">
      <c r="F234" s="88">
        <f>SUM(E223:E232)</f>
        <v>113569.533</v>
      </c>
      <c r="I234" s="91"/>
      <c r="J234" s="91"/>
    </row>
    <row r="235" spans="1:10" ht="6.75" customHeight="1">
      <c r="I235" s="91"/>
      <c r="J235" s="91"/>
    </row>
    <row r="236" spans="1:10">
      <c r="A236" s="3" t="s">
        <v>126</v>
      </c>
      <c r="I236" s="91"/>
      <c r="J236" s="91"/>
    </row>
    <row r="237" spans="1:10">
      <c r="A237" s="45" t="s">
        <v>22</v>
      </c>
      <c r="B237" s="45" t="s">
        <v>23</v>
      </c>
      <c r="C237" s="45" t="s">
        <v>15</v>
      </c>
      <c r="D237" s="46" t="s">
        <v>24</v>
      </c>
      <c r="E237" s="46" t="s">
        <v>25</v>
      </c>
      <c r="F237" s="46" t="s">
        <v>26</v>
      </c>
      <c r="I237" s="91"/>
      <c r="J237" s="91"/>
    </row>
    <row r="238" spans="1:10">
      <c r="A238" s="47" t="s">
        <v>127</v>
      </c>
      <c r="B238" s="48" t="s">
        <v>125</v>
      </c>
      <c r="C238" s="70">
        <f>C224</f>
        <v>29700</v>
      </c>
      <c r="D238" s="49">
        <v>1.33</v>
      </c>
      <c r="E238" s="50">
        <f>C238*D238</f>
        <v>39501</v>
      </c>
      <c r="I238" s="91"/>
      <c r="J238" s="91"/>
    </row>
    <row r="239" spans="1:10">
      <c r="F239" s="88">
        <f>E238</f>
        <v>39501</v>
      </c>
      <c r="I239" s="91"/>
      <c r="J239" s="91"/>
    </row>
    <row r="240" spans="1:10" ht="11.25" customHeight="1">
      <c r="I240" s="91"/>
      <c r="J240" s="91"/>
    </row>
    <row r="241" spans="1:10">
      <c r="A241" s="3" t="s">
        <v>128</v>
      </c>
      <c r="I241" s="91"/>
      <c r="J241" s="91"/>
    </row>
    <row r="242" spans="1:10">
      <c r="A242" s="45" t="s">
        <v>22</v>
      </c>
      <c r="B242" s="45" t="s">
        <v>23</v>
      </c>
      <c r="C242" s="45" t="s">
        <v>15</v>
      </c>
      <c r="D242" s="46" t="s">
        <v>24</v>
      </c>
      <c r="E242" s="46" t="s">
        <v>25</v>
      </c>
      <c r="F242" s="46" t="s">
        <v>26</v>
      </c>
      <c r="I242" s="91"/>
      <c r="J242" s="91"/>
    </row>
    <row r="243" spans="1:10">
      <c r="A243" s="47" t="s">
        <v>129</v>
      </c>
      <c r="B243" s="48" t="s">
        <v>58</v>
      </c>
      <c r="C243" s="110">
        <v>6</v>
      </c>
      <c r="D243" s="49">
        <v>2647.58</v>
      </c>
      <c r="E243" s="50">
        <f>C243*D243</f>
        <v>15885.48</v>
      </c>
      <c r="I243" s="91"/>
      <c r="J243" s="91"/>
    </row>
    <row r="244" spans="1:10">
      <c r="A244" s="47" t="s">
        <v>130</v>
      </c>
      <c r="B244" s="48" t="s">
        <v>58</v>
      </c>
      <c r="C244" s="110">
        <v>3</v>
      </c>
      <c r="D244" s="50"/>
      <c r="E244" s="50"/>
      <c r="I244" s="91"/>
      <c r="J244" s="91"/>
    </row>
    <row r="245" spans="1:10">
      <c r="A245" s="47" t="s">
        <v>131</v>
      </c>
      <c r="B245" s="48" t="s">
        <v>58</v>
      </c>
      <c r="C245" s="50">
        <f>C243*C244</f>
        <v>18</v>
      </c>
      <c r="D245" s="49">
        <v>641.03</v>
      </c>
      <c r="E245" s="50">
        <f>C245*D245</f>
        <v>11538.539999999999</v>
      </c>
      <c r="I245" s="91"/>
      <c r="J245" s="91"/>
    </row>
    <row r="246" spans="1:10">
      <c r="A246" s="51" t="s">
        <v>132</v>
      </c>
      <c r="B246" s="52" t="s">
        <v>133</v>
      </c>
      <c r="C246" s="111">
        <v>85000</v>
      </c>
      <c r="D246" s="54">
        <f>E243+E245</f>
        <v>27424.019999999997</v>
      </c>
      <c r="E246" s="54">
        <f>IFERROR(D246/C246,"-")</f>
        <v>0.32263552941176465</v>
      </c>
      <c r="I246" s="91"/>
      <c r="J246" s="91"/>
    </row>
    <row r="247" spans="1:10">
      <c r="A247" s="51" t="s">
        <v>134</v>
      </c>
      <c r="B247" s="52" t="s">
        <v>113</v>
      </c>
      <c r="C247" s="70">
        <f>B220</f>
        <v>29700</v>
      </c>
      <c r="D247" s="54">
        <f>E246</f>
        <v>0.32263552941176465</v>
      </c>
      <c r="E247" s="54">
        <f>IFERROR(C247*D247,0)</f>
        <v>9582.2752235294101</v>
      </c>
      <c r="I247" s="91"/>
      <c r="J247" s="91"/>
    </row>
    <row r="248" spans="1:10">
      <c r="F248" s="88">
        <f>E247</f>
        <v>9582.2752235294101</v>
      </c>
      <c r="I248" s="91"/>
      <c r="J248" s="91"/>
    </row>
    <row r="249" spans="1:10" ht="7.5" customHeight="1">
      <c r="I249" s="91"/>
      <c r="J249" s="91"/>
    </row>
    <row r="250" spans="1:10" ht="11.25" customHeight="1">
      <c r="A250" s="224" t="s">
        <v>5</v>
      </c>
      <c r="B250" s="3" t="s">
        <v>379</v>
      </c>
      <c r="I250" s="91"/>
      <c r="J250" s="91"/>
    </row>
    <row r="251" spans="1:10" ht="11.25" customHeight="1">
      <c r="A251" s="15"/>
      <c r="I251" s="91"/>
      <c r="J251" s="91"/>
    </row>
    <row r="252" spans="1:10" ht="11.25" customHeight="1">
      <c r="A252" s="112" t="s">
        <v>6</v>
      </c>
      <c r="I252" s="91"/>
      <c r="J252" s="91"/>
    </row>
    <row r="253" spans="1:10" ht="11.25" customHeight="1">
      <c r="A253" s="45" t="s">
        <v>22</v>
      </c>
      <c r="B253" s="45" t="s">
        <v>23</v>
      </c>
      <c r="C253" s="45" t="s">
        <v>15</v>
      </c>
      <c r="D253" s="46" t="s">
        <v>24</v>
      </c>
      <c r="E253" s="46" t="s">
        <v>25</v>
      </c>
      <c r="F253" s="46" t="s">
        <v>26</v>
      </c>
      <c r="I253" s="91"/>
      <c r="J253" s="91"/>
    </row>
    <row r="254" spans="1:10" ht="11.25" customHeight="1">
      <c r="A254" s="47" t="s">
        <v>78</v>
      </c>
      <c r="B254" s="48" t="s">
        <v>58</v>
      </c>
      <c r="C254" s="48">
        <v>1</v>
      </c>
      <c r="D254" s="49">
        <v>109676</v>
      </c>
      <c r="E254" s="50">
        <f>C254*D254</f>
        <v>109676</v>
      </c>
      <c r="I254" s="91"/>
      <c r="J254" s="91"/>
    </row>
    <row r="255" spans="1:10" ht="11.25" customHeight="1">
      <c r="A255" s="51" t="s">
        <v>79</v>
      </c>
      <c r="B255" s="52" t="s">
        <v>80</v>
      </c>
      <c r="C255" s="60">
        <v>10</v>
      </c>
      <c r="D255" s="54"/>
      <c r="E255" s="54"/>
      <c r="I255" s="91"/>
      <c r="J255" s="91"/>
    </row>
    <row r="256" spans="1:10" ht="11.25" customHeight="1">
      <c r="A256" s="51" t="s">
        <v>81</v>
      </c>
      <c r="B256" s="52" t="s">
        <v>80</v>
      </c>
      <c r="C256" s="60">
        <v>0</v>
      </c>
      <c r="D256" s="54"/>
      <c r="E256" s="54"/>
      <c r="F256" s="90"/>
      <c r="I256" s="91"/>
      <c r="J256" s="91"/>
    </row>
    <row r="257" spans="1:10" ht="11.25" customHeight="1">
      <c r="A257" s="51" t="s">
        <v>82</v>
      </c>
      <c r="B257" s="52" t="s">
        <v>4</v>
      </c>
      <c r="C257" s="59">
        <v>65.180000000000007</v>
      </c>
      <c r="D257" s="54">
        <f>E254</f>
        <v>109676</v>
      </c>
      <c r="E257" s="54">
        <f>C257*D257/100</f>
        <v>71486.816800000001</v>
      </c>
      <c r="I257" s="91"/>
      <c r="J257" s="91"/>
    </row>
    <row r="258" spans="1:10" ht="11.25" customHeight="1" thickBot="1">
      <c r="A258" s="92" t="s">
        <v>83</v>
      </c>
      <c r="B258" s="93" t="s">
        <v>28</v>
      </c>
      <c r="C258" s="93">
        <f>C255*12</f>
        <v>120</v>
      </c>
      <c r="D258" s="94">
        <f>IF(C256&lt;=C255,E257,0)</f>
        <v>71486.816800000001</v>
      </c>
      <c r="E258" s="94">
        <f>IFERROR(D258/C258,0)</f>
        <v>595.72347333333335</v>
      </c>
      <c r="I258" s="91"/>
      <c r="J258" s="91"/>
    </row>
    <row r="259" spans="1:10" ht="11.25" customHeight="1" thickTop="1">
      <c r="A259" s="55" t="s">
        <v>89</v>
      </c>
      <c r="B259" s="56"/>
      <c r="C259" s="56"/>
      <c r="D259" s="57"/>
      <c r="E259" s="58">
        <f>E258</f>
        <v>595.72347333333335</v>
      </c>
      <c r="I259" s="91"/>
      <c r="J259" s="91"/>
    </row>
    <row r="260" spans="1:10" ht="11.25" customHeight="1">
      <c r="A260" s="66" t="s">
        <v>90</v>
      </c>
      <c r="B260" s="39" t="s">
        <v>58</v>
      </c>
      <c r="C260" s="60">
        <v>1</v>
      </c>
      <c r="D260" s="10">
        <f>E259</f>
        <v>595.72347333333335</v>
      </c>
      <c r="E260" s="58">
        <f>C260*D260</f>
        <v>595.72347333333335</v>
      </c>
      <c r="G260" s="3"/>
    </row>
    <row r="261" spans="1:10" ht="11.25" customHeight="1">
      <c r="A261" s="95"/>
      <c r="B261" s="95"/>
      <c r="C261" s="95"/>
      <c r="D261" s="61" t="s">
        <v>43</v>
      </c>
      <c r="E261" s="62">
        <v>1</v>
      </c>
      <c r="F261" s="88">
        <f>E260*E261</f>
        <v>595.72347333333335</v>
      </c>
      <c r="G261" s="3"/>
    </row>
    <row r="262" spans="1:10" ht="11.25" customHeight="1">
      <c r="G262" s="3"/>
    </row>
    <row r="263" spans="1:10" ht="11.25" customHeight="1">
      <c r="A263" s="3" t="s">
        <v>7</v>
      </c>
      <c r="G263" s="3"/>
    </row>
    <row r="264" spans="1:10" ht="11.25" customHeight="1">
      <c r="A264" s="97" t="s">
        <v>22</v>
      </c>
      <c r="B264" s="97" t="s">
        <v>23</v>
      </c>
      <c r="C264" s="97" t="s">
        <v>15</v>
      </c>
      <c r="D264" s="46" t="s">
        <v>24</v>
      </c>
      <c r="E264" s="98" t="s">
        <v>25</v>
      </c>
      <c r="F264" s="46" t="s">
        <v>26</v>
      </c>
      <c r="G264" s="3"/>
    </row>
    <row r="265" spans="1:10" ht="11.25" customHeight="1">
      <c r="A265" s="51" t="s">
        <v>93</v>
      </c>
      <c r="B265" s="52" t="s">
        <v>58</v>
      </c>
      <c r="C265" s="48">
        <v>1</v>
      </c>
      <c r="D265" s="54">
        <f>D254</f>
        <v>109676</v>
      </c>
      <c r="E265" s="54">
        <f>C265*D265</f>
        <v>109676</v>
      </c>
      <c r="F265" s="90"/>
      <c r="G265" s="3"/>
    </row>
    <row r="266" spans="1:10" ht="11.25" customHeight="1">
      <c r="A266" s="51" t="s">
        <v>94</v>
      </c>
      <c r="B266" s="52" t="s">
        <v>4</v>
      </c>
      <c r="C266" s="53">
        <v>14.25</v>
      </c>
      <c r="D266" s="54"/>
      <c r="E266" s="54"/>
      <c r="F266" s="90"/>
      <c r="G266" s="3"/>
    </row>
    <row r="267" spans="1:10" ht="11.25" customHeight="1">
      <c r="A267" s="51" t="s">
        <v>95</v>
      </c>
      <c r="B267" s="52" t="s">
        <v>35</v>
      </c>
      <c r="C267" s="99">
        <f>IFERROR(IF(C256&lt;=C255,E254-(C257/(100*C255)*C256)*E254,E254-E257),0)</f>
        <v>109676</v>
      </c>
      <c r="D267" s="54"/>
      <c r="E267" s="54"/>
      <c r="F267" s="90"/>
      <c r="G267" s="3"/>
    </row>
    <row r="268" spans="1:10" ht="11.25" customHeight="1">
      <c r="A268" s="51" t="s">
        <v>96</v>
      </c>
      <c r="B268" s="52" t="s">
        <v>35</v>
      </c>
      <c r="C268" s="54">
        <f>IFERROR(IF(C256&gt;=C255,C267,((((C267)-(E254-E257))*(((C255-C256)+1)/(2*(C255-C256))))+(E254-E257))),0)</f>
        <v>77506.932440000004</v>
      </c>
      <c r="D268" s="54"/>
      <c r="E268" s="54"/>
      <c r="F268" s="90"/>
      <c r="G268" s="3"/>
    </row>
    <row r="269" spans="1:10" ht="11.25" customHeight="1" thickBot="1">
      <c r="A269" s="92" t="s">
        <v>97</v>
      </c>
      <c r="B269" s="93" t="s">
        <v>35</v>
      </c>
      <c r="C269" s="93"/>
      <c r="D269" s="94">
        <f>C266*C268/12/100</f>
        <v>920.39482272499993</v>
      </c>
      <c r="E269" s="94">
        <f>D269</f>
        <v>920.39482272499993</v>
      </c>
      <c r="F269" s="90"/>
      <c r="G269" s="3"/>
    </row>
    <row r="270" spans="1:10" ht="11.25" customHeight="1" thickTop="1">
      <c r="A270" s="55" t="s">
        <v>89</v>
      </c>
      <c r="B270" s="56"/>
      <c r="C270" s="56">
        <v>1</v>
      </c>
      <c r="D270" s="57">
        <v>77520</v>
      </c>
      <c r="E270" s="58">
        <f>E269</f>
        <v>920.39482272499993</v>
      </c>
      <c r="F270" s="259"/>
      <c r="G270" s="3"/>
    </row>
    <row r="271" spans="1:10" ht="11.25" customHeight="1">
      <c r="A271" s="66" t="s">
        <v>90</v>
      </c>
      <c r="B271" s="39" t="s">
        <v>58</v>
      </c>
      <c r="C271" s="52">
        <v>1</v>
      </c>
      <c r="D271" s="10">
        <f>E270</f>
        <v>920.39482272499993</v>
      </c>
      <c r="E271" s="58">
        <f>C271*D271</f>
        <v>920.39482272499993</v>
      </c>
      <c r="F271" s="90"/>
      <c r="G271" s="3"/>
    </row>
    <row r="272" spans="1:10" ht="11.25" customHeight="1">
      <c r="C272" s="100"/>
      <c r="D272" s="61" t="s">
        <v>43</v>
      </c>
      <c r="E272" s="62">
        <f>$B$49</f>
        <v>1</v>
      </c>
      <c r="F272" s="88">
        <f>E271*E272</f>
        <v>920.39482272499993</v>
      </c>
      <c r="G272" s="3"/>
    </row>
    <row r="273" spans="1:9" ht="11.25" customHeight="1">
      <c r="G273" s="3"/>
    </row>
    <row r="274" spans="1:9" ht="11.25" customHeight="1">
      <c r="A274" s="3" t="s">
        <v>8</v>
      </c>
      <c r="G274" s="3"/>
    </row>
    <row r="275" spans="1:9" ht="11.25" customHeight="1">
      <c r="A275" s="45" t="s">
        <v>22</v>
      </c>
      <c r="B275" s="45" t="s">
        <v>23</v>
      </c>
      <c r="C275" s="45" t="s">
        <v>15</v>
      </c>
      <c r="D275" s="46" t="s">
        <v>24</v>
      </c>
      <c r="E275" s="46" t="s">
        <v>25</v>
      </c>
      <c r="F275" s="46" t="s">
        <v>26</v>
      </c>
      <c r="G275" s="3"/>
    </row>
    <row r="276" spans="1:9" ht="11.25" customHeight="1">
      <c r="A276" s="47" t="s">
        <v>103</v>
      </c>
      <c r="B276" s="48" t="s">
        <v>58</v>
      </c>
      <c r="C276" s="50">
        <v>1</v>
      </c>
      <c r="D276" s="50">
        <f>0.03*($E$254)</f>
        <v>3290.2799999999997</v>
      </c>
      <c r="E276" s="50">
        <f>C276*D276</f>
        <v>3290.2799999999997</v>
      </c>
      <c r="G276" s="3"/>
    </row>
    <row r="277" spans="1:9" ht="11.25" customHeight="1">
      <c r="A277" s="51" t="s">
        <v>104</v>
      </c>
      <c r="B277" s="52" t="s">
        <v>58</v>
      </c>
      <c r="C277" s="50">
        <v>0</v>
      </c>
      <c r="D277" s="76">
        <v>191.2</v>
      </c>
      <c r="E277" s="54">
        <f>C277*D277</f>
        <v>0</v>
      </c>
      <c r="G277" s="3"/>
    </row>
    <row r="278" spans="1:9" ht="11.25" customHeight="1">
      <c r="A278" s="51" t="s">
        <v>105</v>
      </c>
      <c r="B278" s="52" t="s">
        <v>58</v>
      </c>
      <c r="C278" s="50">
        <v>0</v>
      </c>
      <c r="D278" s="76">
        <v>2200</v>
      </c>
      <c r="E278" s="54">
        <f>C278*D278</f>
        <v>0</v>
      </c>
      <c r="F278" s="57"/>
      <c r="G278" s="3"/>
      <c r="I278" s="197"/>
    </row>
    <row r="279" spans="1:9" ht="11.25" customHeight="1">
      <c r="A279" s="66" t="s">
        <v>106</v>
      </c>
      <c r="B279" s="39" t="s">
        <v>28</v>
      </c>
      <c r="C279" s="39">
        <v>12</v>
      </c>
      <c r="D279" s="10">
        <f>SUM(D276:D278)</f>
        <v>5681.48</v>
      </c>
      <c r="E279" s="10">
        <f>D279/C279</f>
        <v>473.45666666666665</v>
      </c>
      <c r="G279" s="3"/>
    </row>
    <row r="280" spans="1:9" ht="11.25" customHeight="1">
      <c r="D280" s="61" t="s">
        <v>43</v>
      </c>
      <c r="E280" s="62">
        <f>$B$49</f>
        <v>1</v>
      </c>
      <c r="F280" s="63">
        <f>E279*E280</f>
        <v>473.45666666666665</v>
      </c>
      <c r="G280" s="3"/>
    </row>
    <row r="281" spans="1:9" ht="11.25" customHeight="1">
      <c r="G281" s="3"/>
    </row>
    <row r="282" spans="1:9" ht="11.25" customHeight="1">
      <c r="A282" s="3" t="s">
        <v>9</v>
      </c>
      <c r="B282" s="101"/>
      <c r="G282" s="3"/>
    </row>
    <row r="283" spans="1:9" ht="11.25" customHeight="1">
      <c r="A283" s="66" t="s">
        <v>108</v>
      </c>
      <c r="B283" s="102">
        <v>2500</v>
      </c>
      <c r="G283" s="3"/>
    </row>
    <row r="284" spans="1:9" ht="11.25" customHeight="1">
      <c r="B284" s="101"/>
      <c r="G284" s="3"/>
    </row>
    <row r="285" spans="1:9" ht="11.25" customHeight="1">
      <c r="A285" s="45" t="s">
        <v>22</v>
      </c>
      <c r="B285" s="45">
        <v>2500</v>
      </c>
      <c r="C285" s="45" t="s">
        <v>109</v>
      </c>
      <c r="D285" s="46" t="s">
        <v>24</v>
      </c>
      <c r="E285" s="46" t="s">
        <v>25</v>
      </c>
      <c r="F285" s="46" t="s">
        <v>26</v>
      </c>
      <c r="G285" s="3"/>
    </row>
    <row r="286" spans="1:9" ht="11.25" customHeight="1">
      <c r="A286" s="47" t="s">
        <v>135</v>
      </c>
      <c r="B286" s="48" t="s">
        <v>111</v>
      </c>
      <c r="C286" s="103">
        <v>9</v>
      </c>
      <c r="D286" s="104">
        <v>6.5</v>
      </c>
      <c r="E286" s="50"/>
      <c r="G286" s="3"/>
    </row>
    <row r="287" spans="1:9" ht="11.25" customHeight="1">
      <c r="A287" s="51" t="s">
        <v>136</v>
      </c>
      <c r="B287" s="52" t="s">
        <v>113</v>
      </c>
      <c r="C287" s="70">
        <f>B283</f>
        <v>2500</v>
      </c>
      <c r="D287" s="105">
        <f>IFERROR(+D286/C286,"-")</f>
        <v>0.72222222222222221</v>
      </c>
      <c r="E287" s="54">
        <f>IFERROR(C287*D287,"-")</f>
        <v>1805.5555555555554</v>
      </c>
      <c r="G287" s="3"/>
    </row>
    <row r="288" spans="1:9" ht="11.25" customHeight="1">
      <c r="A288" s="51" t="s">
        <v>114</v>
      </c>
      <c r="B288" s="52" t="s">
        <v>115</v>
      </c>
      <c r="C288" s="106">
        <v>0.4</v>
      </c>
      <c r="D288" s="76">
        <v>43.5</v>
      </c>
      <c r="E288" s="54"/>
      <c r="G288" s="3"/>
    </row>
    <row r="289" spans="1:10" ht="11.25" customHeight="1">
      <c r="A289" s="51" t="s">
        <v>116</v>
      </c>
      <c r="B289" s="52" t="s">
        <v>113</v>
      </c>
      <c r="C289" s="70">
        <f>C287</f>
        <v>2500</v>
      </c>
      <c r="D289" s="107">
        <f>+C288*D288/1000</f>
        <v>1.7400000000000002E-2</v>
      </c>
      <c r="E289" s="54">
        <f>C289*D289</f>
        <v>43.500000000000007</v>
      </c>
      <c r="G289" s="3"/>
    </row>
    <row r="290" spans="1:10" ht="11.25" customHeight="1">
      <c r="A290" s="66" t="s">
        <v>124</v>
      </c>
      <c r="B290" s="39" t="s">
        <v>125</v>
      </c>
      <c r="C290" s="108">
        <v>1</v>
      </c>
      <c r="D290" s="109">
        <v>86</v>
      </c>
      <c r="E290" s="54">
        <f>((C290*D290)/12)</f>
        <v>7.166666666666667</v>
      </c>
      <c r="G290" s="3"/>
    </row>
    <row r="291" spans="1:10" ht="11.25" customHeight="1">
      <c r="F291" s="88">
        <f>SUM(E286:E289)</f>
        <v>1849.0555555555554</v>
      </c>
      <c r="G291" s="3"/>
    </row>
    <row r="292" spans="1:10" ht="11.25" customHeight="1">
      <c r="G292" s="3"/>
    </row>
    <row r="293" spans="1:10">
      <c r="A293" s="3" t="s">
        <v>10</v>
      </c>
      <c r="I293" s="91"/>
      <c r="J293" s="91"/>
    </row>
    <row r="294" spans="1:10">
      <c r="A294" s="45" t="s">
        <v>22</v>
      </c>
      <c r="B294" s="45" t="s">
        <v>23</v>
      </c>
      <c r="C294" s="45" t="s">
        <v>15</v>
      </c>
      <c r="D294" s="46" t="s">
        <v>24</v>
      </c>
      <c r="E294" s="46" t="s">
        <v>25</v>
      </c>
      <c r="F294" s="46" t="s">
        <v>26</v>
      </c>
      <c r="I294" s="91"/>
      <c r="J294" s="91"/>
    </row>
    <row r="295" spans="1:10">
      <c r="A295" s="47" t="s">
        <v>137</v>
      </c>
      <c r="B295" s="48" t="s">
        <v>125</v>
      </c>
      <c r="C295" s="70">
        <f>B283</f>
        <v>2500</v>
      </c>
      <c r="D295" s="49">
        <v>0.18</v>
      </c>
      <c r="E295" s="50">
        <f>C295*D295</f>
        <v>450</v>
      </c>
      <c r="I295" s="91"/>
      <c r="J295" s="91"/>
    </row>
    <row r="296" spans="1:10">
      <c r="F296" s="88">
        <f>E295</f>
        <v>450</v>
      </c>
      <c r="I296" s="91"/>
      <c r="J296" s="91"/>
    </row>
    <row r="297" spans="1:10" ht="11.25" customHeight="1">
      <c r="I297" s="91"/>
      <c r="J297" s="91"/>
    </row>
    <row r="298" spans="1:10">
      <c r="A298" s="3" t="s">
        <v>11</v>
      </c>
      <c r="I298" s="91"/>
      <c r="J298" s="91"/>
    </row>
    <row r="299" spans="1:10">
      <c r="A299" s="45" t="s">
        <v>22</v>
      </c>
      <c r="B299" s="45" t="s">
        <v>23</v>
      </c>
      <c r="C299" s="45" t="s">
        <v>15</v>
      </c>
      <c r="D299" s="46" t="s">
        <v>24</v>
      </c>
      <c r="E299" s="46" t="s">
        <v>25</v>
      </c>
      <c r="F299" s="46" t="s">
        <v>26</v>
      </c>
      <c r="I299" s="91"/>
      <c r="J299" s="91"/>
    </row>
    <row r="300" spans="1:10">
      <c r="A300" s="47" t="s">
        <v>138</v>
      </c>
      <c r="B300" s="48" t="s">
        <v>58</v>
      </c>
      <c r="C300" s="110">
        <v>4</v>
      </c>
      <c r="D300" s="49">
        <v>657.28</v>
      </c>
      <c r="E300" s="50">
        <f>C300*D300</f>
        <v>2629.12</v>
      </c>
      <c r="I300" s="91"/>
      <c r="J300" s="91"/>
    </row>
    <row r="301" spans="1:10">
      <c r="A301" s="113" t="s">
        <v>139</v>
      </c>
      <c r="B301" s="52" t="s">
        <v>133</v>
      </c>
      <c r="C301" s="111">
        <v>50000</v>
      </c>
      <c r="D301" s="54">
        <f>E300</f>
        <v>2629.12</v>
      </c>
      <c r="E301" s="54">
        <f>IFERROR(D301/C301,"-")</f>
        <v>5.2582399999999994E-2</v>
      </c>
      <c r="I301" s="91"/>
      <c r="J301" s="91"/>
    </row>
    <row r="302" spans="1:10">
      <c r="A302" s="51" t="s">
        <v>134</v>
      </c>
      <c r="B302" s="52" t="s">
        <v>113</v>
      </c>
      <c r="C302" s="70">
        <f>B283</f>
        <v>2500</v>
      </c>
      <c r="D302" s="54">
        <f>E301</f>
        <v>5.2582399999999994E-2</v>
      </c>
      <c r="E302" s="54">
        <f>IFERROR(C302*D302,0)</f>
        <v>131.45599999999999</v>
      </c>
      <c r="I302" s="91"/>
      <c r="J302" s="91"/>
    </row>
    <row r="303" spans="1:10">
      <c r="F303" s="88">
        <f>E302</f>
        <v>131.45599999999999</v>
      </c>
      <c r="I303" s="91"/>
      <c r="J303" s="91"/>
    </row>
    <row r="304" spans="1:10" ht="3.75" customHeight="1">
      <c r="G304" s="3"/>
    </row>
    <row r="305" spans="1:7" ht="6" customHeight="1">
      <c r="G305" s="3"/>
    </row>
    <row r="306" spans="1:7">
      <c r="A306" s="77" t="s">
        <v>140</v>
      </c>
      <c r="B306" s="78"/>
      <c r="C306" s="78"/>
      <c r="D306" s="8"/>
      <c r="E306" s="79"/>
      <c r="F306" s="88">
        <f>+SUM(F176:F303)</f>
        <v>225968.03786312498</v>
      </c>
      <c r="G306" s="313"/>
    </row>
    <row r="307" spans="1:7" ht="11.25" customHeight="1">
      <c r="G307" s="3"/>
    </row>
    <row r="308" spans="1:7">
      <c r="A308" s="15" t="s">
        <v>141</v>
      </c>
      <c r="B308" s="15"/>
      <c r="C308" s="15"/>
      <c r="D308" s="14"/>
      <c r="E308" s="14"/>
      <c r="F308" s="57"/>
      <c r="G308" s="3"/>
    </row>
    <row r="309" spans="1:7" ht="6" customHeight="1">
      <c r="G309" s="3"/>
    </row>
    <row r="310" spans="1:7">
      <c r="A310" s="45" t="s">
        <v>22</v>
      </c>
      <c r="B310" s="45" t="s">
        <v>23</v>
      </c>
      <c r="C310" s="45" t="s">
        <v>15</v>
      </c>
      <c r="D310" s="46" t="s">
        <v>24</v>
      </c>
      <c r="E310" s="46" t="s">
        <v>25</v>
      </c>
      <c r="F310" s="46" t="s">
        <v>26</v>
      </c>
      <c r="G310" s="3"/>
    </row>
    <row r="311" spans="1:7">
      <c r="A311" s="51" t="s">
        <v>142</v>
      </c>
      <c r="B311" s="52" t="s">
        <v>58</v>
      </c>
      <c r="C311" s="81">
        <v>8.3333333333333329E-2</v>
      </c>
      <c r="D311" s="49">
        <v>36.9</v>
      </c>
      <c r="E311" s="54">
        <f>C311*D311*11</f>
        <v>33.824999999999996</v>
      </c>
      <c r="F311" s="90"/>
      <c r="G311" s="3"/>
    </row>
    <row r="312" spans="1:7">
      <c r="A312" s="51" t="s">
        <v>143</v>
      </c>
      <c r="B312" s="52" t="s">
        <v>58</v>
      </c>
      <c r="C312" s="81">
        <v>8.3333333333333329E-2</v>
      </c>
      <c r="D312" s="49">
        <v>42.9</v>
      </c>
      <c r="E312" s="54">
        <f t="shared" ref="E312:E313" si="3">C312*D312*11</f>
        <v>39.324999999999996</v>
      </c>
      <c r="F312" s="90"/>
      <c r="G312" s="3"/>
    </row>
    <row r="313" spans="1:7">
      <c r="A313" s="51" t="s">
        <v>144</v>
      </c>
      <c r="B313" s="52" t="s">
        <v>58</v>
      </c>
      <c r="C313" s="81">
        <v>0.16666666666666666</v>
      </c>
      <c r="D313" s="49">
        <v>52.76</v>
      </c>
      <c r="E313" s="54">
        <f t="shared" si="3"/>
        <v>96.726666666666659</v>
      </c>
      <c r="F313" s="90"/>
      <c r="G313" s="3"/>
    </row>
    <row r="314" spans="1:7">
      <c r="A314" s="51" t="s">
        <v>380</v>
      </c>
      <c r="B314" s="52" t="s">
        <v>58</v>
      </c>
      <c r="C314" s="81">
        <v>1.5</v>
      </c>
      <c r="D314" s="49">
        <v>27.46</v>
      </c>
      <c r="E314" s="54">
        <f>C314*D314</f>
        <v>41.19</v>
      </c>
      <c r="F314" s="90"/>
      <c r="G314" s="3"/>
    </row>
    <row r="315" spans="1:7">
      <c r="A315" s="51" t="s">
        <v>381</v>
      </c>
      <c r="B315" s="52" t="s">
        <v>145</v>
      </c>
      <c r="C315" s="81">
        <v>6</v>
      </c>
      <c r="D315" s="49">
        <v>306.56</v>
      </c>
      <c r="E315" s="54">
        <f>(C315*D315)/12</f>
        <v>153.28</v>
      </c>
      <c r="F315" s="90"/>
      <c r="G315" s="3"/>
    </row>
    <row r="316" spans="1:7">
      <c r="A316" s="15"/>
      <c r="B316" s="15"/>
      <c r="C316" s="15"/>
      <c r="D316" s="15"/>
      <c r="E316" s="14"/>
      <c r="F316" s="88">
        <f>SUM(E311:E315)</f>
        <v>364.34666666666669</v>
      </c>
      <c r="G316" s="3"/>
    </row>
    <row r="317" spans="1:7" ht="11.25" customHeight="1">
      <c r="G317" s="3"/>
    </row>
    <row r="318" spans="1:7">
      <c r="A318" s="77" t="s">
        <v>146</v>
      </c>
      <c r="B318" s="78"/>
      <c r="C318" s="78"/>
      <c r="D318" s="8"/>
      <c r="E318" s="79"/>
      <c r="F318" s="88">
        <f>+F316</f>
        <v>364.34666666666669</v>
      </c>
      <c r="G318" s="3"/>
    </row>
    <row r="319" spans="1:7" ht="11.25" customHeight="1">
      <c r="G319" s="3"/>
    </row>
    <row r="320" spans="1:7">
      <c r="A320" s="15" t="s">
        <v>147</v>
      </c>
      <c r="B320" s="15"/>
      <c r="C320" s="15"/>
      <c r="D320" s="14"/>
      <c r="E320" s="14"/>
      <c r="F320" s="57"/>
    </row>
    <row r="321" spans="1:64" ht="6" customHeight="1"/>
    <row r="322" spans="1:64">
      <c r="A322" s="45" t="s">
        <v>22</v>
      </c>
      <c r="B322" s="45" t="s">
        <v>23</v>
      </c>
      <c r="C322" s="45" t="s">
        <v>15</v>
      </c>
      <c r="D322" s="46" t="s">
        <v>24</v>
      </c>
      <c r="E322" s="46" t="s">
        <v>25</v>
      </c>
      <c r="F322" s="46" t="s">
        <v>26</v>
      </c>
    </row>
    <row r="323" spans="1:64">
      <c r="A323" s="51" t="s">
        <v>148</v>
      </c>
      <c r="B323" s="114" t="s">
        <v>145</v>
      </c>
      <c r="C323" s="86">
        <v>6</v>
      </c>
      <c r="D323" s="76">
        <v>79.400000000000006</v>
      </c>
      <c r="E323" s="54">
        <f>+D323*C323</f>
        <v>476.40000000000003</v>
      </c>
      <c r="F323" s="90"/>
    </row>
    <row r="324" spans="1:64">
      <c r="A324" s="51" t="s">
        <v>149</v>
      </c>
      <c r="B324" s="114" t="s">
        <v>28</v>
      </c>
      <c r="C324" s="52">
        <v>12</v>
      </c>
      <c r="D324" s="115">
        <f>SUM(E323:E323)</f>
        <v>476.40000000000003</v>
      </c>
      <c r="E324" s="115">
        <f>+D324/C324</f>
        <v>39.700000000000003</v>
      </c>
      <c r="F324" s="90"/>
    </row>
    <row r="325" spans="1:64">
      <c r="A325" s="51" t="s">
        <v>150</v>
      </c>
      <c r="B325" s="52" t="s">
        <v>58</v>
      </c>
      <c r="C325" s="86">
        <v>6</v>
      </c>
      <c r="D325" s="76">
        <f>D323</f>
        <v>79.400000000000006</v>
      </c>
      <c r="E325" s="54">
        <f>C325*D325</f>
        <v>476.40000000000003</v>
      </c>
      <c r="F325" s="90"/>
    </row>
    <row r="326" spans="1:64">
      <c r="A326" s="51" t="s">
        <v>151</v>
      </c>
      <c r="B326" s="114" t="s">
        <v>28</v>
      </c>
      <c r="C326" s="52">
        <v>1</v>
      </c>
      <c r="D326" s="115">
        <f>+E325</f>
        <v>476.40000000000003</v>
      </c>
      <c r="E326" s="115">
        <f>+D326/C326</f>
        <v>476.40000000000003</v>
      </c>
      <c r="F326" s="90"/>
    </row>
    <row r="327" spans="1:64">
      <c r="A327" s="64"/>
      <c r="B327" s="64"/>
      <c r="C327" s="64"/>
      <c r="D327" s="61" t="s">
        <v>43</v>
      </c>
      <c r="E327" s="62">
        <f>$B$49</f>
        <v>1</v>
      </c>
      <c r="F327" s="88">
        <f>(E324+E326)*E327</f>
        <v>516.1</v>
      </c>
    </row>
    <row r="328" spans="1:64" ht="11.25" customHeight="1">
      <c r="G328" s="116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</row>
    <row r="329" spans="1:64">
      <c r="A329" s="77" t="s">
        <v>152</v>
      </c>
      <c r="B329" s="78"/>
      <c r="C329" s="78"/>
      <c r="D329" s="8"/>
      <c r="E329" s="79"/>
      <c r="F329" s="88">
        <f>+F327</f>
        <v>516.1</v>
      </c>
    </row>
    <row r="330" spans="1:64" ht="19.5" customHeight="1">
      <c r="A330" s="15"/>
      <c r="B330" s="15"/>
      <c r="C330" s="15"/>
      <c r="D330" s="314"/>
      <c r="E330" s="314"/>
      <c r="F330" s="315"/>
    </row>
    <row r="331" spans="1:64" ht="19.5" customHeight="1">
      <c r="A331" s="15" t="s">
        <v>385</v>
      </c>
      <c r="B331" s="15"/>
      <c r="C331" s="15"/>
      <c r="D331" s="314"/>
      <c r="E331" s="314"/>
      <c r="F331" s="315"/>
    </row>
    <row r="332" spans="1:64" ht="19.5" customHeight="1">
      <c r="A332" s="97" t="s">
        <v>22</v>
      </c>
      <c r="B332" s="97" t="s">
        <v>23</v>
      </c>
      <c r="C332" s="97" t="s">
        <v>15</v>
      </c>
      <c r="D332" s="98" t="s">
        <v>24</v>
      </c>
      <c r="E332" s="98" t="s">
        <v>25</v>
      </c>
      <c r="F332" s="46" t="s">
        <v>26</v>
      </c>
    </row>
    <row r="333" spans="1:64" ht="19.5" customHeight="1">
      <c r="A333" s="312" t="s">
        <v>383</v>
      </c>
      <c r="B333" s="229" t="s">
        <v>23</v>
      </c>
      <c r="C333" s="312">
        <v>1</v>
      </c>
      <c r="D333" s="231">
        <v>7000</v>
      </c>
      <c r="E333" s="231">
        <f t="shared" ref="E333" si="4">C333*D333</f>
        <v>7000</v>
      </c>
      <c r="F333" s="88">
        <f>SUM(E333:E333)</f>
        <v>7000</v>
      </c>
    </row>
    <row r="334" spans="1:64" ht="17.25" customHeight="1">
      <c r="A334" s="77" t="s">
        <v>153</v>
      </c>
      <c r="B334" s="40"/>
      <c r="C334" s="40"/>
      <c r="D334" s="29"/>
      <c r="E334" s="87"/>
      <c r="F334" s="75">
        <f>+F134+F169+F306+F318+F329+F333</f>
        <v>656458.9807948384</v>
      </c>
    </row>
    <row r="335" spans="1:64" ht="11.25" customHeight="1"/>
    <row r="336" spans="1:64">
      <c r="A336" s="15" t="s">
        <v>382</v>
      </c>
    </row>
    <row r="337" spans="1:64" ht="11.25" customHeight="1"/>
    <row r="338" spans="1:64">
      <c r="A338" s="45" t="s">
        <v>22</v>
      </c>
      <c r="B338" s="45" t="s">
        <v>23</v>
      </c>
      <c r="C338" s="45" t="s">
        <v>15</v>
      </c>
      <c r="D338" s="46" t="s">
        <v>24</v>
      </c>
      <c r="E338" s="46" t="s">
        <v>25</v>
      </c>
      <c r="F338" s="46" t="s">
        <v>26</v>
      </c>
    </row>
    <row r="339" spans="1:64">
      <c r="A339" s="47" t="s">
        <v>154</v>
      </c>
      <c r="B339" s="48" t="s">
        <v>4</v>
      </c>
      <c r="C339" s="59">
        <f>'4_BDI'!C20*100</f>
        <v>28.07</v>
      </c>
      <c r="D339" s="50">
        <f>+F334</f>
        <v>656458.9807948384</v>
      </c>
      <c r="E339" s="50">
        <f>C339*D339/100</f>
        <v>184268.03590911112</v>
      </c>
    </row>
    <row r="340" spans="1:64">
      <c r="F340" s="88">
        <f>+E339</f>
        <v>184268.03590911112</v>
      </c>
    </row>
    <row r="341" spans="1:64" ht="11.25" customHeight="1"/>
    <row r="342" spans="1:64">
      <c r="A342" s="77" t="s">
        <v>155</v>
      </c>
      <c r="B342" s="40"/>
      <c r="C342" s="40"/>
      <c r="D342" s="29"/>
      <c r="E342" s="87"/>
      <c r="F342" s="75">
        <f>F340</f>
        <v>184268.03590911112</v>
      </c>
    </row>
    <row r="343" spans="1:64">
      <c r="A343" s="15"/>
      <c r="B343" s="15"/>
      <c r="C343" s="15"/>
      <c r="D343" s="14"/>
      <c r="E343" s="14"/>
      <c r="F343" s="57"/>
    </row>
    <row r="344" spans="1:64" ht="11.25" customHeight="1"/>
    <row r="345" spans="1:64" ht="24.75" customHeight="1">
      <c r="A345" s="77" t="s">
        <v>156</v>
      </c>
      <c r="B345" s="40"/>
      <c r="C345" s="40"/>
      <c r="D345" s="29"/>
      <c r="E345" s="87"/>
      <c r="F345" s="75">
        <f>F334+F342</f>
        <v>840727.01670394954</v>
      </c>
      <c r="H345" s="212">
        <f>F345/6</f>
        <v>140121.16945065826</v>
      </c>
    </row>
    <row r="346" spans="1:64" ht="20.100000000000001" customHeight="1">
      <c r="A346" s="15"/>
      <c r="B346" s="15"/>
      <c r="C346" s="15"/>
      <c r="D346" s="14"/>
      <c r="E346" s="14"/>
      <c r="F346" s="14"/>
    </row>
    <row r="347" spans="1:64" ht="17.100000000000001" customHeight="1">
      <c r="A347" s="323" t="s">
        <v>303</v>
      </c>
      <c r="B347" s="324"/>
      <c r="C347" s="325"/>
      <c r="D347" s="231">
        <f>MemoriaCalculo!D24</f>
        <v>2654.56</v>
      </c>
      <c r="E347" s="231" t="s">
        <v>306</v>
      </c>
      <c r="G347" s="4"/>
      <c r="H347" s="5"/>
      <c r="I347" s="198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</row>
    <row r="348" spans="1:64" ht="20.100000000000001" customHeight="1">
      <c r="A348" s="117"/>
      <c r="B348" s="2"/>
      <c r="C348" s="2"/>
      <c r="G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</row>
    <row r="349" spans="1:64" ht="20.85" customHeight="1">
      <c r="A349" s="326" t="s">
        <v>304</v>
      </c>
      <c r="B349" s="327"/>
      <c r="C349" s="327"/>
      <c r="D349" s="328"/>
      <c r="E349" s="231" t="s">
        <v>305</v>
      </c>
      <c r="F349" s="257">
        <f>IFERROR(F345/D347,"-")</f>
        <v>316.71049691999787</v>
      </c>
      <c r="G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</row>
    <row r="351" spans="1:64" ht="17.25" customHeight="1">
      <c r="A351" s="224" t="s">
        <v>334</v>
      </c>
    </row>
    <row r="352" spans="1:64">
      <c r="A352" s="224" t="s">
        <v>402</v>
      </c>
    </row>
    <row r="356" spans="3:6" ht="15.75">
      <c r="C356" s="15"/>
      <c r="F356" s="258"/>
    </row>
    <row r="379" spans="4:7" ht="9" customHeight="1">
      <c r="D379" s="3"/>
      <c r="E379" s="3"/>
      <c r="F379" s="3"/>
      <c r="G379" s="3"/>
    </row>
  </sheetData>
  <mergeCells count="9">
    <mergeCell ref="A44:D44"/>
    <mergeCell ref="A347:C347"/>
    <mergeCell ref="A349:D349"/>
    <mergeCell ref="A1:F1"/>
    <mergeCell ref="A2:F2"/>
    <mergeCell ref="A3:F3"/>
    <mergeCell ref="A15:C15"/>
    <mergeCell ref="A37:E37"/>
    <mergeCell ref="A38:D38"/>
  </mergeCells>
  <hyperlinks>
    <hyperlink ref="A174" location="AbaDeprec" display="3.1.1. Depreciação" xr:uid="{8CED2862-C431-4660-926A-830A6D6E9197}"/>
    <hyperlink ref="A192" location="AbaRemun" display="3.1.2. Remuneração do Capital" xr:uid="{155283BC-752E-410C-84E7-79C6416E65D8}"/>
  </hyperlinks>
  <pageMargins left="0.90551181102362199" right="0.511811023622047" top="1.1417322834645671" bottom="1.0236220472440953" header="0.74803149606299213" footer="0.31496062992126012"/>
  <pageSetup paperSize="9" scale="77" fitToHeight="0" orientation="portrait" r:id="rId1"/>
  <headerFooter alignWithMargins="0">
    <oddFooter>&amp;R&amp;"Arial3,Regular"&amp;P de &amp;N</oddFooter>
  </headerFooter>
  <rowBreaks count="5" manualBreakCount="5">
    <brk id="49" max="5" man="1"/>
    <brk id="122" max="5" man="1"/>
    <brk id="191" max="5" man="1"/>
    <brk id="262" max="5" man="1"/>
    <brk id="330" max="5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C391F-89CF-4671-A616-F2E1139802C0}">
  <sheetPr>
    <pageSetUpPr fitToPage="1"/>
  </sheetPr>
  <dimension ref="A1:BL379"/>
  <sheetViews>
    <sheetView tabSelected="1" view="pageBreakPreview" topLeftCell="A310" zoomScaleNormal="100" zoomScaleSheetLayoutView="100" workbookViewId="0">
      <selection activeCell="G190" sqref="G190"/>
    </sheetView>
  </sheetViews>
  <sheetFormatPr defaultRowHeight="12.75"/>
  <cols>
    <col min="1" max="1" width="44.85546875" style="3" customWidth="1"/>
    <col min="2" max="2" width="15" style="3" customWidth="1"/>
    <col min="3" max="3" width="11.42578125" style="3" customWidth="1"/>
    <col min="4" max="4" width="14.5703125" style="2" customWidth="1"/>
    <col min="5" max="5" width="15.7109375" style="2" customWidth="1"/>
    <col min="6" max="6" width="13.5703125" style="2" customWidth="1"/>
    <col min="7" max="7" width="23.85546875" style="2" customWidth="1"/>
    <col min="8" max="8" width="13.85546875" style="3" customWidth="1"/>
    <col min="9" max="9" width="15" style="3" customWidth="1"/>
    <col min="10" max="10" width="13.7109375" style="3" customWidth="1"/>
    <col min="11" max="11" width="14.5703125" style="3" customWidth="1"/>
    <col min="12" max="64" width="9.42578125" style="3" customWidth="1"/>
    <col min="65" max="65" width="8.85546875" customWidth="1"/>
  </cols>
  <sheetData>
    <row r="1" spans="1:64" ht="92.25" customHeight="1">
      <c r="A1" s="330" t="s">
        <v>0</v>
      </c>
      <c r="B1" s="330"/>
      <c r="C1" s="330"/>
      <c r="D1" s="330"/>
      <c r="E1" s="330"/>
      <c r="F1" s="330"/>
    </row>
    <row r="2" spans="1:64" ht="55.5" customHeight="1">
      <c r="A2" s="331" t="s">
        <v>384</v>
      </c>
      <c r="B2" s="331"/>
      <c r="C2" s="331"/>
      <c r="D2" s="331"/>
      <c r="E2" s="331"/>
      <c r="F2" s="331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64" ht="15.75" customHeight="1">
      <c r="A3" s="332" t="s">
        <v>1</v>
      </c>
      <c r="B3" s="332"/>
      <c r="C3" s="332"/>
      <c r="D3" s="332"/>
      <c r="E3" s="332"/>
      <c r="F3" s="332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ht="15.75" customHeight="1">
      <c r="A4" s="6" t="s">
        <v>2</v>
      </c>
      <c r="B4" s="7"/>
      <c r="C4" s="7"/>
      <c r="D4" s="8"/>
      <c r="E4" s="9" t="s">
        <v>3</v>
      </c>
      <c r="F4" s="10" t="s">
        <v>4</v>
      </c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  <row r="5" spans="1:64" ht="15.75" customHeight="1">
      <c r="A5" s="9" t="str">
        <f>A52</f>
        <v>1. Mão-de-obra</v>
      </c>
      <c r="B5" s="11"/>
      <c r="C5" s="8"/>
      <c r="D5" s="8"/>
      <c r="E5" s="12">
        <f>+F136</f>
        <v>38211.473174833976</v>
      </c>
      <c r="F5" s="13">
        <f>IFERROR(E5/$E$34,0)</f>
        <v>0.40292856071353522</v>
      </c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ht="15.75" customHeight="1">
      <c r="A6" s="16" t="str">
        <f>A54</f>
        <v>1.1. Coletor Turno Dia</v>
      </c>
      <c r="B6" s="17"/>
      <c r="C6" s="7"/>
      <c r="D6" s="7"/>
      <c r="E6" s="18">
        <f>F65</f>
        <v>21495.220653621305</v>
      </c>
      <c r="F6" s="19">
        <f>IFERROR(E6/$E$34,0)</f>
        <v>0.22666067546141186</v>
      </c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15.75" customHeight="1">
      <c r="A7" s="16" t="str">
        <f>A68</f>
        <v>1.2. Motorista Turno do Dia</v>
      </c>
      <c r="B7" s="17"/>
      <c r="C7" s="7"/>
      <c r="D7" s="7"/>
      <c r="E7" s="18">
        <f>F81</f>
        <v>12033.260521212673</v>
      </c>
      <c r="F7" s="19">
        <f>IFERROR(E7/$E$34,0)</f>
        <v>0.12688713466552429</v>
      </c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</row>
    <row r="8" spans="1:64" ht="15.75" customHeight="1">
      <c r="A8" s="16" t="s">
        <v>367</v>
      </c>
      <c r="B8" s="17"/>
      <c r="C8" s="7"/>
      <c r="D8" s="7"/>
      <c r="E8" s="18">
        <f>F82</f>
        <v>0</v>
      </c>
      <c r="F8" s="19">
        <f>IFERROR(E8/$E$34,0)</f>
        <v>0</v>
      </c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</row>
    <row r="9" spans="1:64" ht="15.75" customHeight="1">
      <c r="A9" s="16" t="str">
        <f>A100</f>
        <v>1.4. Vale Transporte</v>
      </c>
      <c r="B9" s="17"/>
      <c r="C9" s="7"/>
      <c r="D9" s="7"/>
      <c r="E9" s="18">
        <f>F106</f>
        <v>843.43200000000002</v>
      </c>
      <c r="F9" s="19">
        <f>IFERROR(E9/$E$34,0)</f>
        <v>8.8937382828662703E-3</v>
      </c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</row>
    <row r="10" spans="1:64" ht="15.75" customHeight="1">
      <c r="A10" s="16" t="str">
        <f>A108</f>
        <v>1.5. Vale-refeição (diário)</v>
      </c>
      <c r="B10" s="17"/>
      <c r="C10" s="7"/>
      <c r="D10" s="7"/>
      <c r="E10" s="18">
        <f>F112</f>
        <v>3015.48</v>
      </c>
      <c r="F10" s="19">
        <f>IFERROR(E10/$E$34,0)</f>
        <v>3.1797335075284767E-2</v>
      </c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ht="15.75" customHeight="1">
      <c r="A11" s="16" t="str">
        <f>A114</f>
        <v>1.6. Auxílio Alimentação (mensal)</v>
      </c>
      <c r="B11" s="17"/>
      <c r="C11" s="7"/>
      <c r="D11" s="7"/>
      <c r="E11" s="18">
        <f>F118</f>
        <v>220.8</v>
      </c>
      <c r="F11" s="19">
        <f>IFERROR(E11/$E$34,0)</f>
        <v>2.3282699884008104E-3</v>
      </c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ht="15.75" customHeight="1">
      <c r="A12" s="16" t="str">
        <f>A120</f>
        <v>1.7. Plano de Beneficio Social</v>
      </c>
      <c r="B12" s="17"/>
      <c r="C12" s="7"/>
      <c r="D12" s="7"/>
      <c r="E12" s="18">
        <f>F123</f>
        <v>102.08</v>
      </c>
      <c r="F12" s="19">
        <f>IFERROR(E12/$E$34,0)</f>
        <v>1.0764030815939979E-3</v>
      </c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ht="15.75" customHeight="1">
      <c r="A13" s="16" t="str">
        <f>A125</f>
        <v>1.8. Seguro de vida para Motorista</v>
      </c>
      <c r="B13" s="17"/>
      <c r="C13" s="7"/>
      <c r="D13" s="7"/>
      <c r="E13" s="18">
        <f>F128</f>
        <v>181.2</v>
      </c>
      <c r="F13" s="19">
        <f>IFERROR(E13/$E$34,0)</f>
        <v>1.9106998274376215E-3</v>
      </c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ht="15.75" customHeight="1">
      <c r="A14" s="16" t="str">
        <f>A130</f>
        <v>1.9. Prêmio Assiduidade (Coletores)</v>
      </c>
      <c r="B14" s="17"/>
      <c r="C14" s="7"/>
      <c r="D14" s="7"/>
      <c r="E14" s="18">
        <f>F133</f>
        <v>320</v>
      </c>
      <c r="F14" s="19">
        <f>IFERROR(E14/$E$34,0)</f>
        <v>3.3743043310156674E-3</v>
      </c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</row>
    <row r="15" spans="1:64" ht="15.75" customHeight="1">
      <c r="A15" s="333" t="str">
        <f>A138</f>
        <v>2. Uniformes e Equipamentos de Proteção Individual</v>
      </c>
      <c r="B15" s="333"/>
      <c r="C15" s="333"/>
      <c r="D15" s="8"/>
      <c r="E15" s="12">
        <f>+F171</f>
        <v>3341.5266666666666</v>
      </c>
      <c r="F15" s="13">
        <f>IFERROR(E15/$E$34,0)</f>
        <v>3.5235399698555249E-2</v>
      </c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</row>
    <row r="16" spans="1:64" ht="15.75" customHeight="1">
      <c r="A16" s="20" t="str">
        <f>A173</f>
        <v>3. Veículos e Equipamentos</v>
      </c>
      <c r="B16" s="21"/>
      <c r="C16" s="8"/>
      <c r="D16" s="8"/>
      <c r="E16" s="12">
        <f>+F306</f>
        <v>32159.45703720098</v>
      </c>
      <c r="F16" s="13">
        <f>IFERROR(E16/$E$34,0)</f>
        <v>0.33911185988668607</v>
      </c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</row>
    <row r="17" spans="1:64" ht="15.75" customHeight="1">
      <c r="A17" s="22" t="str">
        <f>A174</f>
        <v>3.1. Veículo Coletor Baú 12 m³ ou maior</v>
      </c>
      <c r="B17" s="23"/>
      <c r="C17" s="7"/>
      <c r="D17" s="7"/>
      <c r="E17" s="18">
        <f>SUM(E18:E23)</f>
        <v>32159.45703720098</v>
      </c>
      <c r="F17" s="24">
        <f>IFERROR(E17/$E$34,0)</f>
        <v>0.33911185988668607</v>
      </c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ht="15.75" customHeight="1">
      <c r="A18" s="22" t="str">
        <f>A176</f>
        <v>3.1.1. Depreciação</v>
      </c>
      <c r="B18" s="23"/>
      <c r="C18" s="7"/>
      <c r="D18" s="7"/>
      <c r="E18" s="18">
        <f>F190</f>
        <v>4481.3531300000004</v>
      </c>
      <c r="F18" s="24">
        <f>IFERROR(E18/$E$34,0)</f>
        <v>4.7254528985530057E-2</v>
      </c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</row>
    <row r="19" spans="1:64" ht="15.75" customHeight="1">
      <c r="A19" s="22" t="str">
        <f>A193</f>
        <v>3.1.2. Remuneração do Capital</v>
      </c>
      <c r="B19" s="23"/>
      <c r="C19" s="7"/>
      <c r="D19" s="7"/>
      <c r="E19" s="18">
        <f>F207</f>
        <v>3411.4455397500001</v>
      </c>
      <c r="F19" s="24">
        <f>IFERROR(E19/$E$34,0)</f>
        <v>3.5972673311882829E-2</v>
      </c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</row>
    <row r="20" spans="1:64" ht="15.75" customHeight="1">
      <c r="A20" s="22" t="str">
        <f>A211</f>
        <v>3.1.3. Impostos e Seguros</v>
      </c>
      <c r="B20" s="23"/>
      <c r="C20" s="7"/>
      <c r="D20" s="7"/>
      <c r="E20" s="18">
        <f>F217</f>
        <v>1381.9133333333332</v>
      </c>
      <c r="F20" s="24">
        <f>IFERROR(E20/$E$34,0)</f>
        <v>1.4571862955484263E-2</v>
      </c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</row>
    <row r="21" spans="1:64" ht="15.75" customHeight="1">
      <c r="A21" s="22" t="str">
        <f>A219</f>
        <v>3.1.4. Consumos</v>
      </c>
      <c r="B21" s="23"/>
      <c r="C21" s="7"/>
      <c r="D21" s="7"/>
      <c r="E21" s="18">
        <f>F235</f>
        <v>16191.57114</v>
      </c>
      <c r="F21" s="24">
        <f>IFERROR(E21/$E$34,0)</f>
        <v>0.17073527694890714</v>
      </c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</row>
    <row r="22" spans="1:64" ht="15.75" customHeight="1">
      <c r="A22" s="22" t="str">
        <f>A237</f>
        <v>3.1.5. Manutenção</v>
      </c>
      <c r="B22" s="23"/>
      <c r="C22" s="7"/>
      <c r="D22" s="7"/>
      <c r="E22" s="18">
        <f>F240</f>
        <v>5386.5</v>
      </c>
      <c r="F22" s="24">
        <f>IFERROR(E22/$E$34,0)</f>
        <v>5.6799032121924664E-2</v>
      </c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</row>
    <row r="23" spans="1:64" ht="15.75" customHeight="1">
      <c r="A23" s="22" t="str">
        <f>A242</f>
        <v>3.1.6. Pneus</v>
      </c>
      <c r="B23" s="23"/>
      <c r="C23" s="7"/>
      <c r="D23" s="7"/>
      <c r="E23" s="18">
        <f>F249</f>
        <v>1306.6738941176468</v>
      </c>
      <c r="F23" s="24">
        <f>IFERROR(E23/$E$34,0)</f>
        <v>1.3778485562957134E-2</v>
      </c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</row>
    <row r="24" spans="1:64" ht="15.75" hidden="1" customHeight="1">
      <c r="A24" s="22" t="s">
        <v>5</v>
      </c>
      <c r="B24" s="23"/>
      <c r="C24" s="7"/>
      <c r="D24" s="7"/>
      <c r="E24" s="18">
        <f>SUM(E25:E30)</f>
        <v>0</v>
      </c>
      <c r="F24" s="24">
        <f>IFERROR(E24/$E$34,0)</f>
        <v>0</v>
      </c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</row>
    <row r="25" spans="1:64" ht="15.75" hidden="1" customHeight="1">
      <c r="A25" s="22" t="s">
        <v>6</v>
      </c>
      <c r="B25" s="23"/>
      <c r="C25" s="7"/>
      <c r="D25" s="7"/>
      <c r="E25" s="18">
        <f>F262</f>
        <v>0</v>
      </c>
      <c r="F25" s="24">
        <f>IFERROR(E25/$E$34,0)</f>
        <v>0</v>
      </c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</row>
    <row r="26" spans="1:64" ht="15.75" hidden="1" customHeight="1">
      <c r="A26" s="22" t="s">
        <v>7</v>
      </c>
      <c r="B26" s="23"/>
      <c r="C26" s="7"/>
      <c r="D26" s="7"/>
      <c r="E26" s="18">
        <f>F273</f>
        <v>0</v>
      </c>
      <c r="F26" s="24">
        <f>IFERROR(E26/$E$34,0)</f>
        <v>0</v>
      </c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ht="15.75" hidden="1" customHeight="1">
      <c r="A27" s="22" t="s">
        <v>8</v>
      </c>
      <c r="B27" s="23"/>
      <c r="C27" s="7"/>
      <c r="D27" s="7"/>
      <c r="E27" s="18">
        <f>F281</f>
        <v>0</v>
      </c>
      <c r="F27" s="24">
        <f>IFERROR(E27/$E$34,0)</f>
        <v>0</v>
      </c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</row>
    <row r="28" spans="1:64" ht="15.75" hidden="1" customHeight="1">
      <c r="A28" s="22" t="s">
        <v>9</v>
      </c>
      <c r="B28" s="23"/>
      <c r="C28" s="7"/>
      <c r="D28" s="7"/>
      <c r="E28" s="18">
        <f>F292</f>
        <v>0</v>
      </c>
      <c r="F28" s="24">
        <f>IFERROR(E28/$E$34,0)</f>
        <v>0</v>
      </c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</row>
    <row r="29" spans="1:64" ht="15.75" hidden="1" customHeight="1">
      <c r="A29" s="22" t="s">
        <v>10</v>
      </c>
      <c r="B29" s="23"/>
      <c r="C29" s="7"/>
      <c r="D29" s="7"/>
      <c r="E29" s="18">
        <f>F297</f>
        <v>0</v>
      </c>
      <c r="F29" s="24">
        <f>IFERROR(E29/$E$34,0)</f>
        <v>0</v>
      </c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</row>
    <row r="30" spans="1:64" ht="15.75" hidden="1" customHeight="1">
      <c r="A30" s="22" t="s">
        <v>11</v>
      </c>
      <c r="B30" s="23"/>
      <c r="C30" s="7"/>
      <c r="D30" s="7"/>
      <c r="E30" s="18">
        <f>F304</f>
        <v>0</v>
      </c>
      <c r="F30" s="24">
        <f>IFERROR(E30/$E$34,0)</f>
        <v>0</v>
      </c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</row>
    <row r="31" spans="1:64" ht="15.75" customHeight="1">
      <c r="A31" s="20" t="str">
        <f>A308</f>
        <v>4. Ferramentas e Materiais de Consumo</v>
      </c>
      <c r="B31" s="21"/>
      <c r="C31" s="8"/>
      <c r="D31" s="8"/>
      <c r="E31" s="12">
        <f>+F318</f>
        <v>164.35999999999999</v>
      </c>
      <c r="F31" s="13">
        <f>IFERROR(E31/$E$34,0)</f>
        <v>1.7331270620179219E-3</v>
      </c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</row>
    <row r="32" spans="1:64" ht="15.75" customHeight="1">
      <c r="A32" s="20" t="str">
        <f>A320</f>
        <v>5. Monitoramento da Frota</v>
      </c>
      <c r="B32" s="21"/>
      <c r="C32" s="8"/>
      <c r="D32" s="8"/>
      <c r="E32" s="12">
        <f>+F329</f>
        <v>172.03333333333336</v>
      </c>
      <c r="F32" s="13">
        <f>IFERROR(E32/$E$34,0)</f>
        <v>1.8140400679554022E-3</v>
      </c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</row>
    <row r="33" spans="1:64" ht="15.75" customHeight="1">
      <c r="A33" s="20" t="str">
        <f>A334</f>
        <v>6. Benefícios e Despesas Indiretas - BDI</v>
      </c>
      <c r="B33" s="21"/>
      <c r="C33" s="8"/>
      <c r="D33" s="8"/>
      <c r="E33" s="12">
        <f>+F340</f>
        <v>20785.512254518213</v>
      </c>
      <c r="F33" s="13">
        <f>IFERROR(E33/$E$34,0)</f>
        <v>0.21917701257125011</v>
      </c>
      <c r="G33" s="1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</row>
    <row r="34" spans="1:64" ht="15.75" customHeight="1">
      <c r="A34" s="20" t="s">
        <v>12</v>
      </c>
      <c r="B34" s="21"/>
      <c r="C34" s="8"/>
      <c r="D34" s="8"/>
      <c r="E34" s="25">
        <f>E5+E15+E16+E31+E32+E33</f>
        <v>94834.362466553168</v>
      </c>
      <c r="F34" s="26">
        <f>F5+F15+F16+F31+F32+F33</f>
        <v>1</v>
      </c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</row>
    <row r="37" spans="1:64" ht="15" customHeight="1">
      <c r="A37" s="332" t="s">
        <v>13</v>
      </c>
      <c r="B37" s="332"/>
      <c r="C37" s="332"/>
      <c r="D37" s="332"/>
      <c r="E37" s="332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1:64" ht="15" customHeight="1">
      <c r="A38" s="334" t="s">
        <v>14</v>
      </c>
      <c r="B38" s="334"/>
      <c r="C38" s="334"/>
      <c r="D38" s="334"/>
      <c r="E38" s="27" t="s">
        <v>15</v>
      </c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</row>
    <row r="39" spans="1:64" ht="15" customHeight="1">
      <c r="A39" s="28" t="str">
        <f>+A54</f>
        <v>1.1. Coletor Turno Dia</v>
      </c>
      <c r="B39" s="29"/>
      <c r="C39" s="29"/>
      <c r="D39" s="30"/>
      <c r="E39" s="31">
        <f>C64</f>
        <v>4</v>
      </c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</row>
    <row r="40" spans="1:64" ht="15" customHeight="1">
      <c r="A40" s="28" t="str">
        <f>+A68</f>
        <v>1.2. Motorista Turno do Dia</v>
      </c>
      <c r="B40" s="29"/>
      <c r="C40" s="29"/>
      <c r="D40" s="30"/>
      <c r="E40" s="31">
        <f>C80</f>
        <v>2</v>
      </c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</row>
    <row r="41" spans="1:64" ht="15" customHeight="1">
      <c r="A41" s="28" t="str">
        <f>A83</f>
        <v>1.3 Fiscal de Coleta (Supervisor)</v>
      </c>
      <c r="B41" s="29"/>
      <c r="C41" s="29"/>
      <c r="D41" s="30"/>
      <c r="E41" s="31">
        <v>0</v>
      </c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</row>
    <row r="42" spans="1:64" ht="15" customHeight="1">
      <c r="A42" s="28" t="s">
        <v>371</v>
      </c>
      <c r="B42" s="29"/>
      <c r="C42" s="29"/>
      <c r="D42" s="30"/>
      <c r="E42" s="232">
        <v>0</v>
      </c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</row>
    <row r="43" spans="1:64" ht="15" customHeight="1">
      <c r="A43" s="32" t="s">
        <v>16</v>
      </c>
      <c r="B43" s="33"/>
      <c r="C43" s="33"/>
      <c r="D43" s="34"/>
      <c r="E43" s="35">
        <f>SUM(E39:E42)</f>
        <v>6</v>
      </c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</row>
    <row r="44" spans="1:64" ht="15" customHeight="1">
      <c r="A44" s="36"/>
      <c r="B44" s="37"/>
      <c r="C44" s="2"/>
      <c r="E44" s="38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</row>
    <row r="45" spans="1:64" ht="15" customHeight="1">
      <c r="A45" s="329" t="s">
        <v>17</v>
      </c>
      <c r="B45" s="329"/>
      <c r="C45" s="329"/>
      <c r="D45" s="329"/>
      <c r="E45" s="27" t="s">
        <v>15</v>
      </c>
      <c r="F45" s="3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</row>
    <row r="46" spans="1:64" ht="15" customHeight="1">
      <c r="A46" s="28" t="str">
        <f>+A174</f>
        <v>3.1. Veículo Coletor Baú 12 m³ ou maior</v>
      </c>
      <c r="B46" s="29"/>
      <c r="C46" s="29"/>
      <c r="D46" s="40"/>
      <c r="E46" s="31">
        <v>2</v>
      </c>
      <c r="F46" s="3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</row>
    <row r="47" spans="1:64" ht="15" customHeight="1">
      <c r="A47" s="16" t="s">
        <v>370</v>
      </c>
      <c r="B47" s="29"/>
      <c r="C47" s="29"/>
      <c r="D47" s="40"/>
      <c r="E47" s="303">
        <v>0</v>
      </c>
      <c r="F47" s="3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</row>
    <row r="48" spans="1:64" ht="15" hidden="1" customHeight="1">
      <c r="A48" s="28" t="s">
        <v>18</v>
      </c>
      <c r="B48" s="29"/>
      <c r="C48" s="29"/>
      <c r="D48" s="40"/>
      <c r="E48" s="31">
        <v>0</v>
      </c>
      <c r="F48" s="3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</row>
    <row r="49" spans="1:64" ht="15" customHeight="1">
      <c r="A49" s="2"/>
      <c r="B49" s="2"/>
      <c r="C49" s="2"/>
      <c r="D49" s="3"/>
      <c r="E49" s="41"/>
      <c r="F49" s="3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</row>
    <row r="50" spans="1:64" ht="15.75" customHeight="1">
      <c r="A50" s="9" t="s">
        <v>19</v>
      </c>
      <c r="B50" s="43">
        <v>1</v>
      </c>
      <c r="C50" s="14"/>
      <c r="D50" s="15"/>
      <c r="E50" s="44"/>
      <c r="F50" s="15"/>
      <c r="G50" s="14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</row>
    <row r="51" spans="1:64" ht="15.75" customHeight="1">
      <c r="A51" s="2"/>
      <c r="B51" s="2"/>
      <c r="C51" s="2"/>
      <c r="D51" s="3"/>
      <c r="E51" s="42"/>
      <c r="F51" s="3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64" ht="13.15" customHeight="1">
      <c r="A52" s="15" t="s">
        <v>20</v>
      </c>
    </row>
    <row r="53" spans="1:64" ht="11.25" customHeight="1"/>
    <row r="54" spans="1:64" ht="13.9" customHeight="1">
      <c r="A54" s="3" t="s">
        <v>21</v>
      </c>
    </row>
    <row r="55" spans="1:64" ht="13.9" customHeight="1">
      <c r="A55" s="45" t="s">
        <v>22</v>
      </c>
      <c r="B55" s="45" t="s">
        <v>23</v>
      </c>
      <c r="C55" s="45" t="s">
        <v>15</v>
      </c>
      <c r="D55" s="46" t="s">
        <v>24</v>
      </c>
      <c r="E55" s="46" t="s">
        <v>25</v>
      </c>
      <c r="F55" s="46" t="s">
        <v>26</v>
      </c>
    </row>
    <row r="56" spans="1:64" ht="13.15" customHeight="1">
      <c r="A56" s="47" t="s">
        <v>27</v>
      </c>
      <c r="B56" s="48" t="s">
        <v>28</v>
      </c>
      <c r="C56" s="48">
        <v>1</v>
      </c>
      <c r="D56" s="49">
        <v>2082.31</v>
      </c>
      <c r="E56" s="50">
        <f>C56*D56</f>
        <v>2082.31</v>
      </c>
    </row>
    <row r="57" spans="1:64">
      <c r="A57" s="51" t="s">
        <v>29</v>
      </c>
      <c r="B57" s="52" t="s">
        <v>30</v>
      </c>
      <c r="C57" s="256">
        <v>7.33</v>
      </c>
      <c r="D57" s="54">
        <f>D56/220*2</f>
        <v>18.930090909090907</v>
      </c>
      <c r="E57" s="54">
        <f>C57*D57</f>
        <v>138.75756636363636</v>
      </c>
      <c r="G57" s="2" t="s">
        <v>31</v>
      </c>
    </row>
    <row r="58" spans="1:64" ht="13.15" customHeight="1">
      <c r="A58" s="51" t="s">
        <v>32</v>
      </c>
      <c r="B58" s="52" t="s">
        <v>30</v>
      </c>
      <c r="C58" s="256">
        <v>0</v>
      </c>
      <c r="D58" s="54">
        <f>D56/220*1.5</f>
        <v>14.19756818181818</v>
      </c>
      <c r="E58" s="54">
        <f>C58*D58</f>
        <v>0</v>
      </c>
      <c r="G58" s="2" t="s">
        <v>33</v>
      </c>
    </row>
    <row r="59" spans="1:64" ht="13.15" customHeight="1">
      <c r="A59" s="51" t="s">
        <v>34</v>
      </c>
      <c r="B59" s="52" t="s">
        <v>35</v>
      </c>
      <c r="D59" s="54">
        <f>63/302*(SUM(E57:E58))</f>
        <v>28.946114837447322</v>
      </c>
      <c r="E59" s="54">
        <f>D59</f>
        <v>28.946114837447322</v>
      </c>
      <c r="G59" s="2" t="s">
        <v>36</v>
      </c>
    </row>
    <row r="60" spans="1:64">
      <c r="A60" s="51" t="s">
        <v>37</v>
      </c>
      <c r="B60" s="52" t="s">
        <v>4</v>
      </c>
      <c r="C60" s="52">
        <v>40</v>
      </c>
      <c r="D60" s="54">
        <f>SUM(E56:E59)</f>
        <v>2250.0136812010833</v>
      </c>
      <c r="E60" s="54">
        <f>C60*D60/100</f>
        <v>900.00547248043324</v>
      </c>
    </row>
    <row r="61" spans="1:64">
      <c r="A61" s="55" t="s">
        <v>38</v>
      </c>
      <c r="B61" s="56"/>
      <c r="C61" s="56"/>
      <c r="D61" s="57"/>
      <c r="E61" s="58">
        <f>SUM(E56:E60)</f>
        <v>3150.0191536815164</v>
      </c>
    </row>
    <row r="62" spans="1:64">
      <c r="A62" s="51" t="s">
        <v>39</v>
      </c>
      <c r="B62" s="52" t="s">
        <v>4</v>
      </c>
      <c r="C62" s="59">
        <f>'2_Encargos_Sociais'!$C$37*100</f>
        <v>70.595951999999997</v>
      </c>
      <c r="D62" s="54">
        <f>E61</f>
        <v>3150.0191536815164</v>
      </c>
      <c r="E62" s="54">
        <f>D62*C62/100</f>
        <v>2223.7860097238095</v>
      </c>
    </row>
    <row r="63" spans="1:64">
      <c r="A63" s="55" t="s">
        <v>40</v>
      </c>
      <c r="B63" s="56"/>
      <c r="C63" s="56"/>
      <c r="D63" s="57"/>
      <c r="E63" s="58">
        <f>E61+E62</f>
        <v>5373.8051634053263</v>
      </c>
    </row>
    <row r="64" spans="1:64">
      <c r="A64" s="51" t="s">
        <v>41</v>
      </c>
      <c r="B64" s="52" t="s">
        <v>42</v>
      </c>
      <c r="C64" s="60">
        <v>4</v>
      </c>
      <c r="D64" s="54">
        <f>E63</f>
        <v>5373.8051634053263</v>
      </c>
      <c r="E64" s="54">
        <f>C64*D64</f>
        <v>21495.220653621305</v>
      </c>
      <c r="G64" s="4"/>
    </row>
    <row r="65" spans="1:64" ht="13.9" customHeight="1">
      <c r="D65" s="61" t="s">
        <v>43</v>
      </c>
      <c r="E65" s="62">
        <f>$B$50</f>
        <v>1</v>
      </c>
      <c r="F65" s="63">
        <f>E64*E65</f>
        <v>21495.220653621305</v>
      </c>
      <c r="G65" s="4"/>
    </row>
    <row r="66" spans="1:64" ht="4.5" customHeight="1"/>
    <row r="67" spans="1:64" ht="6" customHeight="1"/>
    <row r="68" spans="1:64">
      <c r="A68" s="3" t="s">
        <v>273</v>
      </c>
    </row>
    <row r="69" spans="1:64" ht="13.15" customHeight="1">
      <c r="A69" s="45" t="s">
        <v>22</v>
      </c>
      <c r="B69" s="45" t="s">
        <v>23</v>
      </c>
      <c r="C69" s="45" t="s">
        <v>15</v>
      </c>
      <c r="D69" s="46" t="s">
        <v>24</v>
      </c>
      <c r="E69" s="46" t="s">
        <v>25</v>
      </c>
      <c r="F69" s="46" t="s">
        <v>26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</row>
    <row r="70" spans="1:64">
      <c r="A70" s="47" t="s">
        <v>47</v>
      </c>
      <c r="B70" s="48" t="s">
        <v>28</v>
      </c>
      <c r="C70" s="48">
        <v>1</v>
      </c>
      <c r="D70" s="49">
        <v>2331.4</v>
      </c>
      <c r="E70" s="50">
        <f>C70*D70</f>
        <v>2331.4</v>
      </c>
    </row>
    <row r="71" spans="1:64">
      <c r="A71" s="47" t="s">
        <v>48</v>
      </c>
      <c r="B71" s="48" t="s">
        <v>28</v>
      </c>
      <c r="C71" s="48">
        <f>(4.2*7.33*(1/6))+7.33</f>
        <v>12.461</v>
      </c>
      <c r="D71" s="49">
        <v>1621</v>
      </c>
      <c r="E71" s="50"/>
    </row>
    <row r="72" spans="1:64">
      <c r="A72" s="51" t="s">
        <v>29</v>
      </c>
      <c r="B72" s="52" t="s">
        <v>30</v>
      </c>
      <c r="C72" s="256">
        <v>7.33</v>
      </c>
      <c r="D72" s="54">
        <f>D70/220*2</f>
        <v>21.194545454545455</v>
      </c>
      <c r="E72" s="54">
        <f>C72*D72</f>
        <v>155.3560181818182</v>
      </c>
      <c r="G72" s="2" t="s">
        <v>31</v>
      </c>
    </row>
    <row r="73" spans="1:64">
      <c r="A73" s="51" t="s">
        <v>32</v>
      </c>
      <c r="B73" s="52" t="s">
        <v>30</v>
      </c>
      <c r="C73" s="256"/>
      <c r="D73" s="54">
        <f>D70/220*1.5</f>
        <v>15.895909090909091</v>
      </c>
      <c r="E73" s="54">
        <f>C73*D73</f>
        <v>0</v>
      </c>
      <c r="G73" s="2" t="s">
        <v>33</v>
      </c>
    </row>
    <row r="74" spans="1:64" ht="13.15" customHeight="1">
      <c r="A74" s="51" t="s">
        <v>34</v>
      </c>
      <c r="B74" s="52" t="s">
        <v>35</v>
      </c>
      <c r="D74" s="54">
        <f>63/302*(SUM(E72:E73))</f>
        <v>32.408705779650816</v>
      </c>
      <c r="E74" s="54">
        <f>D74</f>
        <v>32.408705779650816</v>
      </c>
      <c r="G74" s="2" t="s">
        <v>36</v>
      </c>
    </row>
    <row r="75" spans="1:64">
      <c r="A75" s="51" t="s">
        <v>49</v>
      </c>
      <c r="B75" s="52"/>
      <c r="C75" s="65">
        <v>2</v>
      </c>
      <c r="D75" s="54"/>
      <c r="E75" s="54"/>
    </row>
    <row r="76" spans="1:64">
      <c r="A76" s="51" t="s">
        <v>37</v>
      </c>
      <c r="B76" s="52" t="s">
        <v>4</v>
      </c>
      <c r="C76" s="60">
        <v>40</v>
      </c>
      <c r="D76" s="54">
        <f>IF(C75=2,SUM(E70:E74),IF(C75=1,(SUM(E70:E74))*D71/D70,0))</f>
        <v>2519.1647239614695</v>
      </c>
      <c r="E76" s="54">
        <f>C76*D76/100</f>
        <v>1007.6658895845877</v>
      </c>
    </row>
    <row r="77" spans="1:64">
      <c r="A77" s="66" t="s">
        <v>38</v>
      </c>
      <c r="B77" s="56"/>
      <c r="C77" s="56"/>
      <c r="D77" s="57"/>
      <c r="E77" s="10">
        <f>SUM(E70:E76)</f>
        <v>3526.8306135460571</v>
      </c>
      <c r="F77" s="14"/>
      <c r="G77" s="14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8" spans="1:64">
      <c r="A78" s="51" t="s">
        <v>39</v>
      </c>
      <c r="B78" s="52" t="s">
        <v>4</v>
      </c>
      <c r="C78" s="59">
        <f>'2_Encargos_Sociais'!$C$37*100</f>
        <v>70.595951999999997</v>
      </c>
      <c r="D78" s="54">
        <f>E77</f>
        <v>3526.8306135460571</v>
      </c>
      <c r="E78" s="54">
        <f>D78*C78/100</f>
        <v>2489.7996470602798</v>
      </c>
    </row>
    <row r="79" spans="1:64">
      <c r="A79" s="66" t="s">
        <v>50</v>
      </c>
      <c r="B79" s="67"/>
      <c r="C79" s="67"/>
      <c r="D79" s="68"/>
      <c r="E79" s="10">
        <f>E77+E78</f>
        <v>6016.6302606063364</v>
      </c>
      <c r="F79" s="14"/>
      <c r="G79" s="14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64">
      <c r="A80" s="51" t="s">
        <v>41</v>
      </c>
      <c r="B80" s="52" t="s">
        <v>42</v>
      </c>
      <c r="C80" s="60">
        <v>2</v>
      </c>
      <c r="D80" s="54">
        <f>E79</f>
        <v>6016.6302606063364</v>
      </c>
      <c r="E80" s="54">
        <f>C80*D80</f>
        <v>12033.260521212673</v>
      </c>
    </row>
    <row r="81" spans="1:6">
      <c r="D81" s="61" t="s">
        <v>43</v>
      </c>
      <c r="E81" s="62">
        <f>$B$50</f>
        <v>1</v>
      </c>
      <c r="F81" s="63">
        <f>E80*E81</f>
        <v>12033.260521212673</v>
      </c>
    </row>
    <row r="82" spans="1:6" ht="11.25" customHeight="1"/>
    <row r="83" spans="1:6" ht="11.25" customHeight="1">
      <c r="A83" s="262" t="s">
        <v>368</v>
      </c>
    </row>
    <row r="84" spans="1:6" ht="11.25" customHeight="1">
      <c r="A84" s="45" t="s">
        <v>22</v>
      </c>
      <c r="B84" s="45" t="s">
        <v>23</v>
      </c>
      <c r="C84" s="45" t="s">
        <v>15</v>
      </c>
      <c r="D84" s="46" t="s">
        <v>24</v>
      </c>
      <c r="E84" s="46" t="s">
        <v>25</v>
      </c>
      <c r="F84" s="46" t="s">
        <v>26</v>
      </c>
    </row>
    <row r="85" spans="1:6" ht="11.25" customHeight="1">
      <c r="A85" s="47" t="s">
        <v>27</v>
      </c>
      <c r="B85" s="48" t="s">
        <v>28</v>
      </c>
      <c r="C85" s="48">
        <v>1</v>
      </c>
      <c r="D85" s="50">
        <f>D70*1.4</f>
        <v>3263.96</v>
      </c>
      <c r="E85" s="50">
        <f>C85*D85</f>
        <v>3263.96</v>
      </c>
    </row>
    <row r="86" spans="1:6" ht="11.25" customHeight="1">
      <c r="A86" s="47" t="s">
        <v>48</v>
      </c>
      <c r="B86" s="48" t="s">
        <v>28</v>
      </c>
      <c r="C86" s="48">
        <v>0</v>
      </c>
      <c r="D86" s="54">
        <f>D71</f>
        <v>1621</v>
      </c>
      <c r="E86" s="54"/>
    </row>
    <row r="87" spans="1:6" ht="11.25" hidden="1" customHeight="1">
      <c r="A87" s="51" t="s">
        <v>44</v>
      </c>
      <c r="B87" s="52" t="s">
        <v>45</v>
      </c>
      <c r="C87" s="53">
        <v>0</v>
      </c>
      <c r="D87" s="51"/>
      <c r="E87" s="51"/>
    </row>
    <row r="88" spans="1:6" ht="11.25" hidden="1" customHeight="1">
      <c r="A88" s="51"/>
      <c r="B88" s="52" t="s">
        <v>46</v>
      </c>
      <c r="C88" s="54"/>
      <c r="D88" s="54">
        <f>D85/220*0.2</f>
        <v>2.9672363636363639</v>
      </c>
      <c r="E88" s="54">
        <f>C88*D88</f>
        <v>0</v>
      </c>
    </row>
    <row r="89" spans="1:6" ht="11.25" customHeight="1">
      <c r="A89" s="51" t="s">
        <v>29</v>
      </c>
      <c r="B89" s="52" t="s">
        <v>30</v>
      </c>
      <c r="C89" s="306"/>
      <c r="D89" s="54">
        <f>D85/220*2</f>
        <v>29.672363636363638</v>
      </c>
      <c r="E89" s="54">
        <f>C89*D89</f>
        <v>0</v>
      </c>
    </row>
    <row r="90" spans="1:6" ht="11.25" customHeight="1">
      <c r="A90" s="51" t="s">
        <v>32</v>
      </c>
      <c r="B90" s="52" t="s">
        <v>30</v>
      </c>
      <c r="C90" s="306"/>
      <c r="D90" s="54">
        <f>D85/220*1.5</f>
        <v>22.254272727272728</v>
      </c>
      <c r="E90" s="54">
        <f>C90*D90</f>
        <v>0</v>
      </c>
    </row>
    <row r="91" spans="1:6" ht="11.25" customHeight="1">
      <c r="A91" s="51" t="s">
        <v>34</v>
      </c>
      <c r="B91" s="52" t="s">
        <v>35</v>
      </c>
      <c r="D91" s="54">
        <f>63/302*(SUM(E89:E90))</f>
        <v>0</v>
      </c>
      <c r="E91" s="54">
        <f>D91</f>
        <v>0</v>
      </c>
    </row>
    <row r="92" spans="1:6" ht="11.25" customHeight="1">
      <c r="A92" s="51" t="s">
        <v>49</v>
      </c>
      <c r="B92" s="52"/>
      <c r="C92" s="65">
        <v>2</v>
      </c>
      <c r="D92" s="54"/>
      <c r="E92" s="54"/>
    </row>
    <row r="93" spans="1:6" ht="11.25" customHeight="1">
      <c r="A93" s="51" t="s">
        <v>37</v>
      </c>
      <c r="B93" s="52" t="s">
        <v>4</v>
      </c>
      <c r="C93" s="54">
        <v>40</v>
      </c>
      <c r="D93" s="54">
        <f>IF(C92=2,SUM(E85:E91),IF(C92=1,SUM(E85:E91)*D86/D85,0))</f>
        <v>3263.96</v>
      </c>
      <c r="E93" s="54">
        <f>C93*D93/100</f>
        <v>1305.5839999999998</v>
      </c>
    </row>
    <row r="94" spans="1:6" ht="11.25" customHeight="1">
      <c r="A94" s="55" t="s">
        <v>38</v>
      </c>
      <c r="B94" s="56"/>
      <c r="C94" s="56"/>
      <c r="D94" s="57"/>
      <c r="E94" s="58">
        <f>SUM(E85:E93)</f>
        <v>4569.5439999999999</v>
      </c>
      <c r="F94" s="14"/>
    </row>
    <row r="95" spans="1:6" ht="11.25" customHeight="1">
      <c r="A95" s="51" t="s">
        <v>39</v>
      </c>
      <c r="B95" s="52" t="s">
        <v>4</v>
      </c>
      <c r="C95" s="59">
        <f>'2_Encargos_Sociais'!$C$37*100</f>
        <v>70.595951999999997</v>
      </c>
      <c r="D95" s="54">
        <f>E94</f>
        <v>4569.5439999999999</v>
      </c>
      <c r="E95" s="54">
        <f>D95*C95/100</f>
        <v>3225.9130888588797</v>
      </c>
    </row>
    <row r="96" spans="1:6" ht="11.25" customHeight="1">
      <c r="A96" s="55" t="s">
        <v>51</v>
      </c>
      <c r="B96" s="56"/>
      <c r="C96" s="56"/>
      <c r="D96" s="57"/>
      <c r="E96" s="58">
        <f>E94+E95</f>
        <v>7795.4570888588796</v>
      </c>
      <c r="F96" s="14"/>
    </row>
    <row r="97" spans="1:7" ht="11.25" customHeight="1">
      <c r="A97" s="51" t="s">
        <v>41</v>
      </c>
      <c r="B97" s="52" t="s">
        <v>42</v>
      </c>
      <c r="C97" s="60">
        <v>0</v>
      </c>
      <c r="D97" s="54">
        <f>E96</f>
        <v>7795.4570888588796</v>
      </c>
      <c r="E97" s="54">
        <v>1</v>
      </c>
    </row>
    <row r="98" spans="1:7" ht="11.25" customHeight="1">
      <c r="D98" s="61" t="s">
        <v>43</v>
      </c>
      <c r="E98" s="261">
        <v>1</v>
      </c>
      <c r="F98" s="63">
        <v>0</v>
      </c>
      <c r="G98" s="3"/>
    </row>
    <row r="99" spans="1:7">
      <c r="A99"/>
      <c r="B99" s="69"/>
      <c r="D99" s="3"/>
      <c r="E99" s="3"/>
      <c r="G99" s="3"/>
    </row>
    <row r="100" spans="1:7">
      <c r="A100" t="s">
        <v>389</v>
      </c>
      <c r="B100" s="69"/>
      <c r="D100" s="3"/>
      <c r="E100" s="3"/>
      <c r="G100" s="3"/>
    </row>
    <row r="101" spans="1:7">
      <c r="A101" s="45" t="s">
        <v>22</v>
      </c>
      <c r="B101" s="45" t="s">
        <v>23</v>
      </c>
      <c r="C101" s="45" t="s">
        <v>15</v>
      </c>
      <c r="D101" s="46" t="s">
        <v>24</v>
      </c>
      <c r="E101" s="46" t="s">
        <v>25</v>
      </c>
      <c r="F101" s="46" t="s">
        <v>26</v>
      </c>
      <c r="G101" s="3"/>
    </row>
    <row r="102" spans="1:7">
      <c r="A102" s="51" t="s">
        <v>52</v>
      </c>
      <c r="B102" s="52" t="s">
        <v>35</v>
      </c>
      <c r="C102" s="70">
        <v>1</v>
      </c>
      <c r="D102" s="71">
        <v>5.2</v>
      </c>
      <c r="E102" s="54"/>
      <c r="G102" s="72"/>
    </row>
    <row r="103" spans="1:7">
      <c r="A103" s="51" t="s">
        <v>53</v>
      </c>
      <c r="B103" s="52" t="s">
        <v>54</v>
      </c>
      <c r="C103" s="73">
        <v>26</v>
      </c>
      <c r="D103" s="54"/>
      <c r="E103" s="54"/>
    </row>
    <row r="104" spans="1:7">
      <c r="A104" s="51" t="s">
        <v>55</v>
      </c>
      <c r="B104" s="52" t="s">
        <v>56</v>
      </c>
      <c r="C104" s="74">
        <f>$C$103*2*(C64)</f>
        <v>208</v>
      </c>
      <c r="D104" s="50">
        <v>2.8</v>
      </c>
      <c r="E104" s="54">
        <f>IFERROR(C104*D104,"-")</f>
        <v>582.4</v>
      </c>
      <c r="G104" s="3"/>
    </row>
    <row r="105" spans="1:7">
      <c r="A105" s="47" t="s">
        <v>57</v>
      </c>
      <c r="B105" s="48" t="s">
        <v>56</v>
      </c>
      <c r="C105" s="74">
        <f>$C$103*2*(C80)</f>
        <v>104</v>
      </c>
      <c r="D105" s="50">
        <f>IFERROR((($C$103*2*$D$102)-(E70*0.06*C103/26))/($C$103*2),"-")</f>
        <v>2.5099230769230778</v>
      </c>
      <c r="E105" s="50">
        <f>IFERROR(C105*D105,"-")</f>
        <v>261.0320000000001</v>
      </c>
      <c r="G105" s="3"/>
    </row>
    <row r="106" spans="1:7">
      <c r="F106" s="75">
        <f>SUM(E104:E105)</f>
        <v>843.43200000000002</v>
      </c>
      <c r="G106" s="3"/>
    </row>
    <row r="107" spans="1:7" ht="11.25" customHeight="1">
      <c r="G107" s="3"/>
    </row>
    <row r="108" spans="1:7">
      <c r="A108" s="3" t="s">
        <v>390</v>
      </c>
      <c r="F108" s="14"/>
      <c r="G108" s="3"/>
    </row>
    <row r="109" spans="1:7">
      <c r="A109" s="45" t="s">
        <v>22</v>
      </c>
      <c r="B109" s="45" t="s">
        <v>23</v>
      </c>
      <c r="C109" s="45" t="s">
        <v>15</v>
      </c>
      <c r="D109" s="46" t="s">
        <v>24</v>
      </c>
      <c r="E109" s="46" t="s">
        <v>25</v>
      </c>
      <c r="F109" s="46" t="s">
        <v>26</v>
      </c>
      <c r="G109" s="3"/>
    </row>
    <row r="110" spans="1:7">
      <c r="A110" s="51" t="str">
        <f>+A104</f>
        <v>Coletor</v>
      </c>
      <c r="B110" s="52" t="s">
        <v>58</v>
      </c>
      <c r="C110" s="74">
        <f>C103*(E39)</f>
        <v>104</v>
      </c>
      <c r="D110" s="76">
        <v>21.65</v>
      </c>
      <c r="E110" s="62">
        <f>C110*D110</f>
        <v>2251.6</v>
      </c>
      <c r="F110" s="14"/>
      <c r="G110" s="3"/>
    </row>
    <row r="111" spans="1:7">
      <c r="A111" s="51" t="str">
        <f>+A105</f>
        <v>Motorista</v>
      </c>
      <c r="B111" s="52" t="s">
        <v>58</v>
      </c>
      <c r="C111" s="74">
        <f>C103*(E40)</f>
        <v>52</v>
      </c>
      <c r="D111" s="76">
        <v>14.69</v>
      </c>
      <c r="E111" s="62">
        <f>C111*D111</f>
        <v>763.88</v>
      </c>
      <c r="F111" s="14"/>
      <c r="G111" s="3"/>
    </row>
    <row r="112" spans="1:7">
      <c r="F112" s="75">
        <f>SUM(E110:E111)</f>
        <v>3015.48</v>
      </c>
      <c r="G112" s="3"/>
    </row>
    <row r="113" spans="1:7">
      <c r="G113" s="3"/>
    </row>
    <row r="114" spans="1:7">
      <c r="A114" s="3" t="s">
        <v>391</v>
      </c>
      <c r="F114" s="14"/>
      <c r="G114" s="3"/>
    </row>
    <row r="115" spans="1:7">
      <c r="A115" s="45" t="s">
        <v>22</v>
      </c>
      <c r="B115" s="45" t="s">
        <v>23</v>
      </c>
      <c r="C115" s="45" t="s">
        <v>15</v>
      </c>
      <c r="D115" s="46" t="s">
        <v>24</v>
      </c>
      <c r="E115" s="46" t="s">
        <v>25</v>
      </c>
      <c r="F115" s="46" t="s">
        <v>26</v>
      </c>
      <c r="G115" s="3"/>
    </row>
    <row r="116" spans="1:7">
      <c r="A116" s="51" t="str">
        <f>+A110</f>
        <v>Coletor</v>
      </c>
      <c r="B116" s="52" t="s">
        <v>58</v>
      </c>
      <c r="C116" s="74">
        <f>C64</f>
        <v>4</v>
      </c>
      <c r="D116" s="76">
        <v>0</v>
      </c>
      <c r="E116" s="62">
        <f>C116*D116</f>
        <v>0</v>
      </c>
      <c r="F116" s="14"/>
      <c r="G116" s="3"/>
    </row>
    <row r="117" spans="1:7">
      <c r="A117" s="51" t="str">
        <f>+A111</f>
        <v>Motorista</v>
      </c>
      <c r="B117" s="52" t="s">
        <v>58</v>
      </c>
      <c r="C117" s="74">
        <f>C80</f>
        <v>2</v>
      </c>
      <c r="D117" s="76">
        <v>110.4</v>
      </c>
      <c r="E117" s="62">
        <f>C117*D117</f>
        <v>220.8</v>
      </c>
      <c r="F117" s="14"/>
      <c r="G117" s="3"/>
    </row>
    <row r="118" spans="1:7">
      <c r="D118" s="61" t="s">
        <v>43</v>
      </c>
      <c r="E118" s="62">
        <f>$B$50</f>
        <v>1</v>
      </c>
      <c r="F118" s="75">
        <f>SUM(E116:E117)*E118</f>
        <v>220.8</v>
      </c>
      <c r="G118" s="3"/>
    </row>
    <row r="119" spans="1:7">
      <c r="D119" s="61"/>
      <c r="E119" s="227"/>
      <c r="F119" s="311"/>
      <c r="G119" s="3"/>
    </row>
    <row r="120" spans="1:7">
      <c r="A120" s="3" t="s">
        <v>392</v>
      </c>
      <c r="D120" s="61"/>
      <c r="E120" s="227"/>
      <c r="F120" s="311"/>
      <c r="G120" s="3"/>
    </row>
    <row r="121" spans="1:7">
      <c r="A121" s="97" t="s">
        <v>22</v>
      </c>
      <c r="B121" s="97" t="s">
        <v>23</v>
      </c>
      <c r="C121" s="45" t="s">
        <v>15</v>
      </c>
      <c r="D121" s="46" t="s">
        <v>24</v>
      </c>
      <c r="E121" s="98" t="s">
        <v>25</v>
      </c>
      <c r="F121" s="46" t="s">
        <v>26</v>
      </c>
      <c r="G121" s="3"/>
    </row>
    <row r="122" spans="1:7">
      <c r="A122" s="312" t="s">
        <v>375</v>
      </c>
      <c r="B122" s="312" t="s">
        <v>23</v>
      </c>
      <c r="C122" s="312">
        <v>4</v>
      </c>
      <c r="D122" s="230">
        <v>25.52</v>
      </c>
      <c r="E122" s="231">
        <f>C122*D122</f>
        <v>102.08</v>
      </c>
      <c r="F122" s="311"/>
      <c r="G122" s="3"/>
    </row>
    <row r="123" spans="1:7">
      <c r="A123" s="312" t="s">
        <v>376</v>
      </c>
      <c r="B123" s="312"/>
      <c r="C123" s="312"/>
      <c r="D123" s="230"/>
      <c r="E123" s="231">
        <f>E122</f>
        <v>102.08</v>
      </c>
      <c r="F123" s="46">
        <f>E122</f>
        <v>102.08</v>
      </c>
      <c r="G123" s="3"/>
    </row>
    <row r="124" spans="1:7">
      <c r="D124" s="322"/>
      <c r="E124" s="227"/>
      <c r="F124" s="351"/>
      <c r="G124" s="3"/>
    </row>
    <row r="125" spans="1:7">
      <c r="A125" s="3" t="s">
        <v>393</v>
      </c>
      <c r="D125" s="61"/>
      <c r="E125" s="227"/>
      <c r="F125" s="311"/>
      <c r="G125" s="3"/>
    </row>
    <row r="126" spans="1:7">
      <c r="A126" s="97" t="s">
        <v>22</v>
      </c>
      <c r="B126" s="97" t="s">
        <v>23</v>
      </c>
      <c r="C126" s="45" t="s">
        <v>15</v>
      </c>
      <c r="D126" s="98" t="s">
        <v>24</v>
      </c>
      <c r="E126" s="98" t="s">
        <v>25</v>
      </c>
      <c r="F126" s="46" t="s">
        <v>26</v>
      </c>
      <c r="G126" s="3"/>
    </row>
    <row r="127" spans="1:7">
      <c r="A127" s="312" t="s">
        <v>377</v>
      </c>
      <c r="B127" s="312" t="s">
        <v>23</v>
      </c>
      <c r="C127" s="312">
        <v>2</v>
      </c>
      <c r="D127" s="230">
        <v>90.6</v>
      </c>
      <c r="E127" s="231">
        <f>C127*D127</f>
        <v>181.2</v>
      </c>
      <c r="F127" s="311"/>
      <c r="G127" s="3"/>
    </row>
    <row r="128" spans="1:7">
      <c r="A128" s="312" t="s">
        <v>378</v>
      </c>
      <c r="B128" s="312"/>
      <c r="C128" s="312"/>
      <c r="D128" s="230"/>
      <c r="E128" s="231">
        <f>E127</f>
        <v>181.2</v>
      </c>
      <c r="F128" s="46">
        <f>E127</f>
        <v>181.2</v>
      </c>
      <c r="G128" s="3"/>
    </row>
    <row r="129" spans="1:7">
      <c r="D129" s="61"/>
      <c r="E129" s="227"/>
      <c r="F129" s="311"/>
      <c r="G129" s="3"/>
    </row>
    <row r="130" spans="1:7">
      <c r="A130" s="3" t="s">
        <v>394</v>
      </c>
      <c r="D130" s="61"/>
      <c r="E130" s="227"/>
      <c r="F130" s="311"/>
      <c r="G130" s="3"/>
    </row>
    <row r="131" spans="1:7">
      <c r="A131" s="45" t="s">
        <v>22</v>
      </c>
      <c r="B131" s="45" t="s">
        <v>23</v>
      </c>
      <c r="C131" s="45" t="s">
        <v>15</v>
      </c>
      <c r="D131" s="46" t="s">
        <v>24</v>
      </c>
      <c r="E131" s="46" t="s">
        <v>25</v>
      </c>
      <c r="F131" s="46" t="s">
        <v>26</v>
      </c>
      <c r="G131" s="3"/>
    </row>
    <row r="132" spans="1:7">
      <c r="A132" s="51" t="s">
        <v>388</v>
      </c>
      <c r="B132" s="52" t="s">
        <v>58</v>
      </c>
      <c r="C132" s="74">
        <f>C64</f>
        <v>4</v>
      </c>
      <c r="D132" s="76">
        <v>80</v>
      </c>
      <c r="E132" s="62">
        <f>C132*D132</f>
        <v>320</v>
      </c>
      <c r="F132" s="14"/>
      <c r="G132" s="3"/>
    </row>
    <row r="133" spans="1:7">
      <c r="A133" s="312" t="s">
        <v>374</v>
      </c>
      <c r="B133" s="312"/>
      <c r="C133" s="312"/>
      <c r="D133" s="230"/>
      <c r="E133" s="231">
        <f>E132</f>
        <v>320</v>
      </c>
      <c r="F133" s="46">
        <f>E132</f>
        <v>320</v>
      </c>
      <c r="G133" s="3"/>
    </row>
    <row r="134" spans="1:7">
      <c r="G134" s="3"/>
    </row>
    <row r="135" spans="1:7" ht="1.5" customHeight="1">
      <c r="G135" s="3"/>
    </row>
    <row r="136" spans="1:7">
      <c r="A136" s="77" t="s">
        <v>59</v>
      </c>
      <c r="B136" s="78"/>
      <c r="C136" s="78"/>
      <c r="D136" s="8"/>
      <c r="E136" s="79"/>
      <c r="F136" s="75">
        <f>F118+F112+F106+F81+F65+F98+F123+F128+F133</f>
        <v>38211.473174833976</v>
      </c>
      <c r="G136" s="3"/>
    </row>
    <row r="137" spans="1:7" ht="9" customHeight="1"/>
    <row r="138" spans="1:7">
      <c r="A138" s="15" t="s">
        <v>60</v>
      </c>
      <c r="G138" s="3"/>
    </row>
    <row r="139" spans="1:7" ht="13.9" customHeight="1">
      <c r="A139" s="3" t="s">
        <v>365</v>
      </c>
      <c r="G139" s="3"/>
    </row>
    <row r="140" spans="1:7" ht="27.75" customHeight="1">
      <c r="A140" s="45" t="s">
        <v>22</v>
      </c>
      <c r="B140" s="45" t="s">
        <v>23</v>
      </c>
      <c r="C140" s="80" t="s">
        <v>61</v>
      </c>
      <c r="D140" s="46" t="s">
        <v>24</v>
      </c>
      <c r="E140" s="46" t="s">
        <v>25</v>
      </c>
      <c r="F140" s="46" t="s">
        <v>26</v>
      </c>
      <c r="G140" s="3"/>
    </row>
    <row r="141" spans="1:7" ht="13.15" customHeight="1">
      <c r="A141" s="51" t="s">
        <v>364</v>
      </c>
      <c r="B141" s="52" t="s">
        <v>58</v>
      </c>
      <c r="C141" s="304">
        <v>6</v>
      </c>
      <c r="D141" s="49">
        <v>160</v>
      </c>
      <c r="E141" s="50">
        <f t="shared" ref="E141:E152" si="0">IFERROR(D141/C141,0)</f>
        <v>26.666666666666668</v>
      </c>
      <c r="G141" s="3"/>
    </row>
    <row r="142" spans="1:7" ht="13.15" customHeight="1">
      <c r="A142" s="51" t="s">
        <v>62</v>
      </c>
      <c r="B142" s="52" t="s">
        <v>58</v>
      </c>
      <c r="C142" s="304">
        <v>4</v>
      </c>
      <c r="D142" s="49">
        <v>78.33</v>
      </c>
      <c r="E142" s="50">
        <f t="shared" si="0"/>
        <v>19.5825</v>
      </c>
      <c r="G142" s="3"/>
    </row>
    <row r="143" spans="1:7" ht="13.15" customHeight="1">
      <c r="A143" s="51" t="s">
        <v>372</v>
      </c>
      <c r="B143" s="52" t="s">
        <v>58</v>
      </c>
      <c r="C143" s="304">
        <v>4</v>
      </c>
      <c r="D143" s="49">
        <v>81</v>
      </c>
      <c r="E143" s="50">
        <f t="shared" si="0"/>
        <v>20.25</v>
      </c>
      <c r="G143" s="3"/>
    </row>
    <row r="144" spans="1:7">
      <c r="A144" s="51" t="s">
        <v>63</v>
      </c>
      <c r="B144" s="52" t="s">
        <v>58</v>
      </c>
      <c r="C144" s="304">
        <v>4</v>
      </c>
      <c r="D144" s="49">
        <v>45</v>
      </c>
      <c r="E144" s="50">
        <f t="shared" si="0"/>
        <v>11.25</v>
      </c>
      <c r="G144" s="3"/>
    </row>
    <row r="145" spans="1:64" ht="13.15" customHeight="1">
      <c r="A145" s="51" t="s">
        <v>64</v>
      </c>
      <c r="B145" s="52" t="s">
        <v>58</v>
      </c>
      <c r="C145" s="304">
        <v>3</v>
      </c>
      <c r="D145" s="49">
        <v>15.62</v>
      </c>
      <c r="E145" s="50">
        <f t="shared" si="0"/>
        <v>5.2066666666666661</v>
      </c>
      <c r="G145" s="3"/>
    </row>
    <row r="146" spans="1:64" ht="13.9" customHeight="1">
      <c r="A146" s="51" t="s">
        <v>65</v>
      </c>
      <c r="B146" s="52" t="s">
        <v>66</v>
      </c>
      <c r="C146" s="304">
        <v>6</v>
      </c>
      <c r="D146" s="49">
        <v>88.69</v>
      </c>
      <c r="E146" s="50">
        <f t="shared" si="0"/>
        <v>14.781666666666666</v>
      </c>
      <c r="G146" s="3"/>
    </row>
    <row r="147" spans="1:64" ht="13.15" customHeight="1">
      <c r="A147" s="51" t="s">
        <v>67</v>
      </c>
      <c r="B147" s="52" t="s">
        <v>66</v>
      </c>
      <c r="C147" s="304">
        <v>3</v>
      </c>
      <c r="D147" s="49">
        <v>8.16</v>
      </c>
      <c r="E147" s="50">
        <f t="shared" si="0"/>
        <v>2.72</v>
      </c>
    </row>
    <row r="148" spans="1:64">
      <c r="A148" s="51" t="s">
        <v>68</v>
      </c>
      <c r="B148" s="52" t="s">
        <v>58</v>
      </c>
      <c r="C148" s="304">
        <v>4</v>
      </c>
      <c r="D148" s="49">
        <v>67.62</v>
      </c>
      <c r="E148" s="50">
        <f t="shared" si="0"/>
        <v>16.905000000000001</v>
      </c>
    </row>
    <row r="149" spans="1:64">
      <c r="A149" s="82" t="s">
        <v>69</v>
      </c>
      <c r="B149" s="83" t="s">
        <v>58</v>
      </c>
      <c r="C149" s="304">
        <v>6</v>
      </c>
      <c r="D149" s="49">
        <v>25.75</v>
      </c>
      <c r="E149" s="50">
        <f t="shared" si="0"/>
        <v>4.291666666666667</v>
      </c>
      <c r="F149" s="84"/>
      <c r="G149" s="84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</row>
    <row r="150" spans="1:64">
      <c r="A150" s="51" t="s">
        <v>70</v>
      </c>
      <c r="B150" s="52" t="s">
        <v>66</v>
      </c>
      <c r="C150" s="81">
        <v>0.25</v>
      </c>
      <c r="D150" s="49">
        <v>15.48</v>
      </c>
      <c r="E150" s="50">
        <f t="shared" si="0"/>
        <v>61.92</v>
      </c>
    </row>
    <row r="151" spans="1:64">
      <c r="A151" s="51" t="s">
        <v>373</v>
      </c>
      <c r="B151" s="52" t="s">
        <v>58</v>
      </c>
      <c r="C151" s="310">
        <v>6</v>
      </c>
      <c r="D151" s="49">
        <v>23.71</v>
      </c>
      <c r="E151" s="50">
        <f t="shared" si="0"/>
        <v>3.9516666666666667</v>
      </c>
    </row>
    <row r="152" spans="1:64" ht="13.15" customHeight="1">
      <c r="A152" s="51" t="s">
        <v>71</v>
      </c>
      <c r="B152" s="52" t="s">
        <v>72</v>
      </c>
      <c r="C152" s="304">
        <v>1.5</v>
      </c>
      <c r="D152" s="49">
        <v>14.16</v>
      </c>
      <c r="E152" s="50">
        <f t="shared" si="0"/>
        <v>9.44</v>
      </c>
    </row>
    <row r="153" spans="1:64">
      <c r="A153" s="51" t="s">
        <v>73</v>
      </c>
      <c r="B153" s="52" t="s">
        <v>74</v>
      </c>
      <c r="C153" s="86">
        <v>1</v>
      </c>
      <c r="D153" s="49">
        <v>128</v>
      </c>
      <c r="E153" s="54">
        <f>C153*D153</f>
        <v>128</v>
      </c>
    </row>
    <row r="154" spans="1:64">
      <c r="A154" s="51" t="s">
        <v>41</v>
      </c>
      <c r="B154" s="52" t="s">
        <v>42</v>
      </c>
      <c r="C154" s="225">
        <v>4</v>
      </c>
      <c r="D154" s="54">
        <f>+SUM(E141:E153)</f>
        <v>324.96583333333331</v>
      </c>
      <c r="E154" s="54">
        <f>C154*D154</f>
        <v>1299.8633333333332</v>
      </c>
    </row>
    <row r="155" spans="1:64">
      <c r="D155" s="61" t="s">
        <v>43</v>
      </c>
      <c r="E155" s="62">
        <f>$B$50</f>
        <v>1</v>
      </c>
      <c r="F155" s="63">
        <f>E154*E155</f>
        <v>1299.8633333333332</v>
      </c>
    </row>
    <row r="156" spans="1:64" ht="13.9" customHeight="1">
      <c r="A156" s="3" t="s">
        <v>366</v>
      </c>
    </row>
    <row r="157" spans="1:64" ht="6.75" customHeight="1"/>
    <row r="158" spans="1:64" ht="24">
      <c r="A158" s="45" t="s">
        <v>22</v>
      </c>
      <c r="B158" s="45" t="s">
        <v>23</v>
      </c>
      <c r="C158" s="80" t="s">
        <v>61</v>
      </c>
      <c r="D158" s="46" t="s">
        <v>24</v>
      </c>
      <c r="E158" s="46" t="s">
        <v>25</v>
      </c>
      <c r="F158" s="46" t="s">
        <v>26</v>
      </c>
    </row>
    <row r="159" spans="1:64">
      <c r="A159" s="51" t="s">
        <v>364</v>
      </c>
      <c r="B159" s="52" t="s">
        <v>58</v>
      </c>
      <c r="C159" s="304">
        <v>12</v>
      </c>
      <c r="D159" s="54">
        <f>+D141</f>
        <v>160</v>
      </c>
      <c r="E159" s="50">
        <f t="shared" ref="E159:E166" si="1">IFERROR(D159/C159,0)</f>
        <v>13.333333333333334</v>
      </c>
    </row>
    <row r="160" spans="1:64">
      <c r="A160" s="51" t="s">
        <v>62</v>
      </c>
      <c r="B160" s="52" t="s">
        <v>58</v>
      </c>
      <c r="C160" s="304">
        <v>2</v>
      </c>
      <c r="D160" s="54">
        <f>+D142</f>
        <v>78.33</v>
      </c>
      <c r="E160" s="50">
        <f t="shared" si="1"/>
        <v>39.164999999999999</v>
      </c>
    </row>
    <row r="161" spans="1:11">
      <c r="A161" s="51" t="s">
        <v>372</v>
      </c>
      <c r="B161" s="52" t="s">
        <v>58</v>
      </c>
      <c r="C161" s="304">
        <v>4</v>
      </c>
      <c r="D161" s="54">
        <f>D143</f>
        <v>81</v>
      </c>
      <c r="E161" s="50">
        <f t="shared" si="1"/>
        <v>20.25</v>
      </c>
    </row>
    <row r="162" spans="1:11">
      <c r="A162" s="51" t="s">
        <v>63</v>
      </c>
      <c r="B162" s="52" t="s">
        <v>58</v>
      </c>
      <c r="C162" s="304">
        <v>3</v>
      </c>
      <c r="D162" s="54">
        <f>+D144</f>
        <v>45</v>
      </c>
      <c r="E162" s="50">
        <f t="shared" si="1"/>
        <v>15</v>
      </c>
    </row>
    <row r="163" spans="1:11">
      <c r="A163" s="51" t="s">
        <v>65</v>
      </c>
      <c r="B163" s="52" t="s">
        <v>66</v>
      </c>
      <c r="C163" s="304">
        <v>6</v>
      </c>
      <c r="D163" s="54">
        <f>+D146</f>
        <v>88.69</v>
      </c>
      <c r="E163" s="50">
        <f t="shared" si="1"/>
        <v>14.781666666666666</v>
      </c>
    </row>
    <row r="164" spans="1:11">
      <c r="A164" s="51" t="s">
        <v>68</v>
      </c>
      <c r="B164" s="52" t="s">
        <v>58</v>
      </c>
      <c r="C164" s="304">
        <v>6</v>
      </c>
      <c r="D164" s="54">
        <f>+D148</f>
        <v>67.62</v>
      </c>
      <c r="E164" s="50">
        <f t="shared" si="1"/>
        <v>11.270000000000001</v>
      </c>
      <c r="G164" s="3"/>
    </row>
    <row r="165" spans="1:11">
      <c r="A165" s="51" t="s">
        <v>373</v>
      </c>
      <c r="B165" s="52" t="s">
        <v>58</v>
      </c>
      <c r="C165" s="304">
        <v>6</v>
      </c>
      <c r="D165" s="54">
        <f>D151</f>
        <v>23.71</v>
      </c>
      <c r="E165" s="50">
        <f t="shared" si="1"/>
        <v>3.9516666666666667</v>
      </c>
      <c r="G165" s="3"/>
    </row>
    <row r="166" spans="1:11">
      <c r="A166" s="51" t="s">
        <v>71</v>
      </c>
      <c r="B166" s="52" t="s">
        <v>72</v>
      </c>
      <c r="C166" s="304">
        <v>2</v>
      </c>
      <c r="D166" s="54">
        <f>+D152</f>
        <v>14.16</v>
      </c>
      <c r="E166" s="50">
        <f t="shared" si="1"/>
        <v>7.08</v>
      </c>
      <c r="G166" s="3"/>
    </row>
    <row r="167" spans="1:11">
      <c r="A167" s="51" t="s">
        <v>73</v>
      </c>
      <c r="B167" s="52" t="s">
        <v>74</v>
      </c>
      <c r="C167" s="86">
        <v>7</v>
      </c>
      <c r="D167" s="49">
        <v>128</v>
      </c>
      <c r="E167" s="54">
        <f>C167*D167</f>
        <v>896</v>
      </c>
      <c r="G167" s="3"/>
    </row>
    <row r="168" spans="1:11">
      <c r="A168" s="51" t="s">
        <v>41</v>
      </c>
      <c r="B168" s="52" t="s">
        <v>42</v>
      </c>
      <c r="C168" s="260">
        <v>2</v>
      </c>
      <c r="D168" s="54">
        <f>+SUM(E159:E167)</f>
        <v>1020.8316666666667</v>
      </c>
      <c r="E168" s="54">
        <f>C168*D168</f>
        <v>2041.6633333333334</v>
      </c>
      <c r="G168" s="3"/>
    </row>
    <row r="169" spans="1:11">
      <c r="D169" s="61" t="s">
        <v>43</v>
      </c>
      <c r="E169" s="62">
        <f>$B$50</f>
        <v>1</v>
      </c>
      <c r="F169" s="63">
        <f>E168*E169</f>
        <v>2041.6633333333334</v>
      </c>
      <c r="G169" s="3"/>
    </row>
    <row r="170" spans="1:11" ht="11.25" customHeight="1">
      <c r="G170" s="3"/>
    </row>
    <row r="171" spans="1:11">
      <c r="A171" s="77" t="s">
        <v>75</v>
      </c>
      <c r="B171" s="40"/>
      <c r="C171" s="40"/>
      <c r="D171" s="29"/>
      <c r="E171" s="87"/>
      <c r="F171" s="88">
        <f>+F155+F169</f>
        <v>3341.5266666666666</v>
      </c>
      <c r="G171" s="3"/>
    </row>
    <row r="172" spans="1:11" ht="6" customHeight="1">
      <c r="G172" s="3"/>
    </row>
    <row r="173" spans="1:11">
      <c r="A173" s="15" t="s">
        <v>76</v>
      </c>
      <c r="G173" s="3"/>
      <c r="H173" s="299">
        <v>541215</v>
      </c>
      <c r="I173" s="299">
        <v>465854</v>
      </c>
      <c r="J173" s="300">
        <v>531.03800000000001</v>
      </c>
      <c r="K173" s="299">
        <v>538950</v>
      </c>
    </row>
    <row r="174" spans="1:11">
      <c r="A174" s="5" t="s">
        <v>398</v>
      </c>
      <c r="G174" s="3"/>
    </row>
    <row r="175" spans="1:11" ht="9" customHeight="1">
      <c r="G175" s="3"/>
      <c r="I175" s="300">
        <f>(H173+I173+J173+K173)/4</f>
        <v>386637.50949999999</v>
      </c>
    </row>
    <row r="176" spans="1:11">
      <c r="A176" s="89" t="s">
        <v>77</v>
      </c>
      <c r="G176" s="3"/>
    </row>
    <row r="177" spans="1:10">
      <c r="A177" s="45" t="s">
        <v>22</v>
      </c>
      <c r="B177" s="45" t="s">
        <v>23</v>
      </c>
      <c r="C177" s="45" t="s">
        <v>15</v>
      </c>
      <c r="D177" s="46" t="s">
        <v>24</v>
      </c>
      <c r="E177" s="46" t="s">
        <v>25</v>
      </c>
      <c r="F177" s="46" t="s">
        <v>26</v>
      </c>
      <c r="G177" s="3"/>
    </row>
    <row r="178" spans="1:10">
      <c r="A178" s="47" t="s">
        <v>78</v>
      </c>
      <c r="B178" s="48" t="s">
        <v>58</v>
      </c>
      <c r="C178" s="48">
        <v>1</v>
      </c>
      <c r="D178" s="49">
        <v>412521</v>
      </c>
      <c r="E178" s="50">
        <f>C178*D178</f>
        <v>412521</v>
      </c>
      <c r="G178" s="3"/>
    </row>
    <row r="179" spans="1:10">
      <c r="A179" s="51" t="s">
        <v>79</v>
      </c>
      <c r="B179" s="52" t="s">
        <v>80</v>
      </c>
      <c r="C179" s="60">
        <v>10</v>
      </c>
      <c r="D179" s="54"/>
      <c r="E179" s="54"/>
      <c r="G179" s="3"/>
    </row>
    <row r="180" spans="1:10">
      <c r="A180" s="51" t="s">
        <v>81</v>
      </c>
      <c r="B180" s="52" t="s">
        <v>80</v>
      </c>
      <c r="C180" s="223">
        <v>10</v>
      </c>
      <c r="D180" s="54"/>
      <c r="E180" s="54"/>
      <c r="F180" s="90"/>
      <c r="I180" s="91"/>
      <c r="J180" s="91"/>
    </row>
    <row r="181" spans="1:10">
      <c r="A181" s="51" t="s">
        <v>82</v>
      </c>
      <c r="B181" s="52" t="s">
        <v>4</v>
      </c>
      <c r="C181" s="59">
        <f>IFERROR(VLOOKUP(C179,'5__Depreciação'!A3:B17,2,0),0)</f>
        <v>65.180000000000007</v>
      </c>
      <c r="D181" s="54">
        <f>E178</f>
        <v>412521</v>
      </c>
      <c r="E181" s="54">
        <f>C181*D181/100</f>
        <v>268881.18780000001</v>
      </c>
    </row>
    <row r="182" spans="1:10" ht="13.5" thickBot="1">
      <c r="A182" s="92" t="s">
        <v>83</v>
      </c>
      <c r="B182" s="93" t="s">
        <v>28</v>
      </c>
      <c r="C182" s="93">
        <f>C179*12</f>
        <v>120</v>
      </c>
      <c r="D182" s="94">
        <f>IF(C180&lt;=C179,E181,0)</f>
        <v>268881.18780000001</v>
      </c>
      <c r="E182" s="94">
        <f>IFERROR(D182/C182,0)</f>
        <v>2240.6765650000002</v>
      </c>
    </row>
    <row r="183" spans="1:10" ht="13.5" thickTop="1">
      <c r="A183" s="47" t="s">
        <v>84</v>
      </c>
      <c r="B183" s="48" t="s">
        <v>58</v>
      </c>
      <c r="C183" s="48">
        <v>0</v>
      </c>
      <c r="D183" s="49">
        <v>0</v>
      </c>
      <c r="E183" s="50">
        <f>C183*D183</f>
        <v>0</v>
      </c>
      <c r="G183" s="197"/>
    </row>
    <row r="184" spans="1:10">
      <c r="A184" s="51" t="s">
        <v>85</v>
      </c>
      <c r="B184" s="52" t="s">
        <v>80</v>
      </c>
      <c r="C184" s="60">
        <v>0</v>
      </c>
      <c r="D184" s="54"/>
      <c r="E184" s="54"/>
    </row>
    <row r="185" spans="1:10">
      <c r="A185" s="51" t="s">
        <v>86</v>
      </c>
      <c r="B185" s="52" t="s">
        <v>80</v>
      </c>
      <c r="C185" s="223">
        <v>0</v>
      </c>
      <c r="D185" s="54"/>
      <c r="E185" s="54"/>
      <c r="F185" s="90"/>
      <c r="I185" s="91"/>
      <c r="J185" s="91"/>
    </row>
    <row r="186" spans="1:10">
      <c r="A186" s="51" t="s">
        <v>87</v>
      </c>
      <c r="B186" s="52" t="s">
        <v>4</v>
      </c>
      <c r="C186" s="59">
        <f>IFERROR(VLOOKUP(C184,'5__Depreciação'!A3:B17,2,0),0)</f>
        <v>0</v>
      </c>
      <c r="D186" s="54">
        <f>E183</f>
        <v>0</v>
      </c>
      <c r="E186" s="54">
        <f>C186*D186/100</f>
        <v>0</v>
      </c>
    </row>
    <row r="187" spans="1:10">
      <c r="A187" s="66" t="s">
        <v>88</v>
      </c>
      <c r="B187" s="39" t="s">
        <v>28</v>
      </c>
      <c r="C187" s="39">
        <f>C184*12</f>
        <v>0</v>
      </c>
      <c r="D187" s="10">
        <f>IF(C185&lt;=C184,E186,0)</f>
        <v>0</v>
      </c>
      <c r="E187" s="10">
        <f>IFERROR(D187/C187,0)</f>
        <v>0</v>
      </c>
    </row>
    <row r="188" spans="1:10">
      <c r="A188" s="55" t="s">
        <v>89</v>
      </c>
      <c r="B188" s="56"/>
      <c r="C188" s="56"/>
      <c r="D188" s="57"/>
      <c r="E188" s="58">
        <f>E182+E187</f>
        <v>2240.6765650000002</v>
      </c>
    </row>
    <row r="189" spans="1:10">
      <c r="A189" s="66" t="s">
        <v>90</v>
      </c>
      <c r="B189" s="39" t="s">
        <v>58</v>
      </c>
      <c r="C189" s="60">
        <v>2</v>
      </c>
      <c r="D189" s="10">
        <f>E188</f>
        <v>2240.6765650000002</v>
      </c>
      <c r="E189" s="58">
        <f>C189*D189</f>
        <v>4481.3531300000004</v>
      </c>
    </row>
    <row r="190" spans="1:10">
      <c r="A190" s="95"/>
      <c r="B190" s="95"/>
      <c r="C190" s="95"/>
      <c r="D190" s="61" t="s">
        <v>43</v>
      </c>
      <c r="E190" s="62">
        <v>1</v>
      </c>
      <c r="F190" s="88">
        <f>E189*E190</f>
        <v>4481.3531300000004</v>
      </c>
    </row>
    <row r="191" spans="1:10" ht="11.25" customHeight="1">
      <c r="A191" s="96" t="s">
        <v>91</v>
      </c>
    </row>
    <row r="192" spans="1:10" ht="11.25" customHeight="1"/>
    <row r="193" spans="1:10">
      <c r="A193" s="89" t="s">
        <v>92</v>
      </c>
    </row>
    <row r="194" spans="1:10">
      <c r="A194" s="97" t="s">
        <v>22</v>
      </c>
      <c r="B194" s="97" t="s">
        <v>23</v>
      </c>
      <c r="C194" s="97" t="s">
        <v>15</v>
      </c>
      <c r="D194" s="46" t="s">
        <v>24</v>
      </c>
      <c r="E194" s="98" t="s">
        <v>25</v>
      </c>
      <c r="F194" s="46" t="s">
        <v>26</v>
      </c>
      <c r="I194" s="91"/>
      <c r="J194" s="91"/>
    </row>
    <row r="195" spans="1:10">
      <c r="A195" s="51" t="s">
        <v>93</v>
      </c>
      <c r="B195" s="52" t="s">
        <v>58</v>
      </c>
      <c r="C195" s="48">
        <v>1</v>
      </c>
      <c r="D195" s="10">
        <f>D178</f>
        <v>412521</v>
      </c>
      <c r="E195" s="54">
        <f>C195*D195</f>
        <v>412521</v>
      </c>
      <c r="F195" s="90"/>
      <c r="I195" s="91"/>
      <c r="J195" s="91"/>
    </row>
    <row r="196" spans="1:10">
      <c r="A196" s="51" t="s">
        <v>94</v>
      </c>
      <c r="B196" s="52" t="s">
        <v>4</v>
      </c>
      <c r="C196" s="53">
        <v>14.25</v>
      </c>
      <c r="D196" s="54"/>
      <c r="E196" s="54"/>
      <c r="F196" s="90"/>
      <c r="I196" s="91"/>
      <c r="J196" s="91"/>
    </row>
    <row r="197" spans="1:10">
      <c r="A197" s="51" t="s">
        <v>95</v>
      </c>
      <c r="B197" s="52" t="s">
        <v>35</v>
      </c>
      <c r="C197" s="99">
        <f>IFERROR(IF(C180&lt;=C179,E178-(C181/(100*C179)*C180)*E178,E178-E181),0)</f>
        <v>143639.81219999999</v>
      </c>
      <c r="D197" s="54"/>
      <c r="E197" s="54"/>
      <c r="F197" s="90"/>
      <c r="I197" s="91"/>
      <c r="J197" s="91"/>
    </row>
    <row r="198" spans="1:10">
      <c r="A198" s="51" t="s">
        <v>96</v>
      </c>
      <c r="B198" s="52" t="s">
        <v>35</v>
      </c>
      <c r="C198" s="54">
        <f>IFERROR(IF(C180&gt;=C179,C197,((((C197)-(E178-E181))*(((C179-C180)+1)/(2*(C179-C180))))+(E178-E181))),0)</f>
        <v>143639.81219999999</v>
      </c>
      <c r="D198" s="54"/>
      <c r="E198" s="54"/>
      <c r="F198" s="90"/>
      <c r="I198" s="91"/>
      <c r="J198" s="91"/>
    </row>
    <row r="199" spans="1:10" ht="13.5" thickBot="1">
      <c r="A199" s="92" t="s">
        <v>97</v>
      </c>
      <c r="B199" s="93" t="s">
        <v>35</v>
      </c>
      <c r="C199" s="93"/>
      <c r="D199" s="94">
        <f>C196*C198/12/100</f>
        <v>1705.722769875</v>
      </c>
      <c r="E199" s="94">
        <f>D199</f>
        <v>1705.722769875</v>
      </c>
      <c r="F199" s="90"/>
      <c r="I199" s="91"/>
      <c r="J199" s="91"/>
    </row>
    <row r="200" spans="1:10" ht="13.5" thickTop="1">
      <c r="A200" s="47" t="s">
        <v>98</v>
      </c>
      <c r="B200" s="48" t="s">
        <v>58</v>
      </c>
      <c r="C200" s="48">
        <f>C183</f>
        <v>0</v>
      </c>
      <c r="D200" s="307">
        <f>D183</f>
        <v>0</v>
      </c>
      <c r="E200" s="50">
        <f>C200*D200</f>
        <v>0</v>
      </c>
      <c r="F200" s="90"/>
      <c r="I200" s="91"/>
      <c r="J200" s="91"/>
    </row>
    <row r="201" spans="1:10">
      <c r="A201" s="51" t="s">
        <v>94</v>
      </c>
      <c r="B201" s="52" t="s">
        <v>4</v>
      </c>
      <c r="C201" s="226">
        <f>C196</f>
        <v>14.25</v>
      </c>
      <c r="D201" s="54"/>
      <c r="E201" s="54"/>
      <c r="F201" s="90"/>
      <c r="I201" s="91"/>
      <c r="J201" s="91"/>
    </row>
    <row r="202" spans="1:10">
      <c r="A202" s="51" t="s">
        <v>99</v>
      </c>
      <c r="B202" s="52" t="s">
        <v>35</v>
      </c>
      <c r="C202" s="99">
        <f>IFERROR(IF(C185&lt;=C184,E183-(C186/(100*C184)*C185)*E183,E183-E186),0)</f>
        <v>0</v>
      </c>
      <c r="D202" s="54"/>
      <c r="E202" s="54"/>
      <c r="F202" s="90"/>
      <c r="I202" s="91"/>
      <c r="J202" s="91"/>
    </row>
    <row r="203" spans="1:10">
      <c r="A203" s="51" t="s">
        <v>100</v>
      </c>
      <c r="B203" s="52" t="s">
        <v>35</v>
      </c>
      <c r="C203" s="54">
        <f>IFERROR(IF(C185&gt;=C184,C202,((((C202)-(E183-E186))*(((C184-C185)+1)/(2*(C184-C185))))+(E183-E186))),0)</f>
        <v>0</v>
      </c>
      <c r="D203" s="54"/>
      <c r="E203" s="54"/>
      <c r="F203" s="90"/>
      <c r="I203" s="91"/>
      <c r="J203" s="91"/>
    </row>
    <row r="204" spans="1:10">
      <c r="A204" s="66" t="s">
        <v>101</v>
      </c>
      <c r="B204" s="39" t="s">
        <v>35</v>
      </c>
      <c r="C204" s="39"/>
      <c r="D204" s="10">
        <f>C201*C203/12/100</f>
        <v>0</v>
      </c>
      <c r="E204" s="10">
        <f>D204</f>
        <v>0</v>
      </c>
      <c r="F204" s="90"/>
      <c r="I204" s="91"/>
      <c r="J204" s="91"/>
    </row>
    <row r="205" spans="1:10">
      <c r="A205" s="55" t="s">
        <v>89</v>
      </c>
      <c r="B205" s="56"/>
      <c r="C205" s="56"/>
      <c r="D205" s="57"/>
      <c r="E205" s="58">
        <f>E199+E204</f>
        <v>1705.722769875</v>
      </c>
      <c r="F205" s="90"/>
      <c r="I205" s="91"/>
      <c r="J205" s="91"/>
    </row>
    <row r="206" spans="1:10">
      <c r="A206" s="66" t="s">
        <v>90</v>
      </c>
      <c r="B206" s="39" t="s">
        <v>58</v>
      </c>
      <c r="C206" s="52">
        <f>C189</f>
        <v>2</v>
      </c>
      <c r="D206" s="10">
        <f>E205</f>
        <v>1705.722769875</v>
      </c>
      <c r="E206" s="58">
        <f>C206*D206</f>
        <v>3411.4455397500001</v>
      </c>
      <c r="F206" s="90"/>
      <c r="I206" s="91"/>
      <c r="J206" s="91"/>
    </row>
    <row r="207" spans="1:10">
      <c r="C207" s="100"/>
      <c r="D207" s="61" t="s">
        <v>43</v>
      </c>
      <c r="E207" s="261">
        <v>1</v>
      </c>
      <c r="F207" s="88">
        <f>E206*E207</f>
        <v>3411.4455397500001</v>
      </c>
      <c r="I207" s="91"/>
      <c r="J207" s="91"/>
    </row>
    <row r="208" spans="1:10">
      <c r="C208" s="100"/>
      <c r="D208" s="61"/>
      <c r="E208" s="227"/>
      <c r="F208" s="228"/>
      <c r="I208" s="91"/>
      <c r="J208" s="91"/>
    </row>
    <row r="209" spans="1:10" hidden="1">
      <c r="A209" s="233" t="s">
        <v>302</v>
      </c>
      <c r="B209" s="234" t="s">
        <v>4</v>
      </c>
      <c r="C209" s="234">
        <v>0</v>
      </c>
      <c r="D209" s="235"/>
      <c r="E209" s="236"/>
      <c r="F209" s="237">
        <f>C209*F207</f>
        <v>0</v>
      </c>
      <c r="I209" s="91"/>
      <c r="J209" s="91"/>
    </row>
    <row r="210" spans="1:10" ht="11.25" hidden="1" customHeight="1">
      <c r="I210" s="91"/>
      <c r="J210" s="91"/>
    </row>
    <row r="211" spans="1:10">
      <c r="A211" s="3" t="s">
        <v>102</v>
      </c>
      <c r="I211" s="91"/>
      <c r="J211" s="91"/>
    </row>
    <row r="212" spans="1:10">
      <c r="A212" s="45" t="s">
        <v>22</v>
      </c>
      <c r="B212" s="45" t="s">
        <v>23</v>
      </c>
      <c r="C212" s="45" t="s">
        <v>15</v>
      </c>
      <c r="D212" s="46" t="s">
        <v>24</v>
      </c>
      <c r="E212" s="46" t="s">
        <v>25</v>
      </c>
      <c r="F212" s="46" t="s">
        <v>26</v>
      </c>
      <c r="I212" s="91"/>
      <c r="J212" s="91"/>
    </row>
    <row r="213" spans="1:10">
      <c r="A213" s="47" t="s">
        <v>103</v>
      </c>
      <c r="B213" s="48" t="s">
        <v>58</v>
      </c>
      <c r="C213" s="50">
        <f>C189</f>
        <v>2</v>
      </c>
      <c r="D213" s="50">
        <f>0.01*($E$178)</f>
        <v>4125.21</v>
      </c>
      <c r="E213" s="50">
        <f>C213*D213</f>
        <v>8250.42</v>
      </c>
      <c r="I213" s="91"/>
      <c r="J213" s="91"/>
    </row>
    <row r="214" spans="1:10">
      <c r="A214" s="51" t="s">
        <v>104</v>
      </c>
      <c r="B214" s="52" t="s">
        <v>58</v>
      </c>
      <c r="C214" s="50">
        <f>C213</f>
        <v>2</v>
      </c>
      <c r="D214" s="76">
        <v>191.2</v>
      </c>
      <c r="E214" s="54">
        <f>C214*D214</f>
        <v>382.4</v>
      </c>
      <c r="I214" s="91"/>
      <c r="J214" s="91"/>
    </row>
    <row r="215" spans="1:10">
      <c r="A215" s="51" t="s">
        <v>105</v>
      </c>
      <c r="B215" s="52" t="s">
        <v>58</v>
      </c>
      <c r="C215" s="50">
        <f>C214</f>
        <v>2</v>
      </c>
      <c r="D215" s="76">
        <v>3975.07</v>
      </c>
      <c r="E215" s="54">
        <f>C215*D215</f>
        <v>7950.14</v>
      </c>
      <c r="F215" s="57"/>
      <c r="I215" s="91"/>
      <c r="J215" s="91"/>
    </row>
    <row r="216" spans="1:10">
      <c r="A216" s="66" t="s">
        <v>106</v>
      </c>
      <c r="B216" s="39" t="s">
        <v>28</v>
      </c>
      <c r="C216" s="39">
        <v>12</v>
      </c>
      <c r="D216" s="10">
        <f>SUM(E213:E215)</f>
        <v>16582.96</v>
      </c>
      <c r="E216" s="10">
        <f>D216/C216</f>
        <v>1381.9133333333332</v>
      </c>
      <c r="I216" s="91"/>
      <c r="J216" s="91"/>
    </row>
    <row r="217" spans="1:10">
      <c r="D217" s="61" t="s">
        <v>43</v>
      </c>
      <c r="E217" s="62">
        <v>1</v>
      </c>
      <c r="F217" s="63">
        <f>E216*E217</f>
        <v>1381.9133333333332</v>
      </c>
      <c r="I217" s="91"/>
      <c r="J217" s="91"/>
    </row>
    <row r="218" spans="1:10" ht="6.75" customHeight="1">
      <c r="I218" s="91"/>
      <c r="J218" s="91"/>
    </row>
    <row r="219" spans="1:10">
      <c r="A219" s="3" t="s">
        <v>107</v>
      </c>
      <c r="B219" s="101"/>
      <c r="I219" s="91"/>
      <c r="J219" s="91"/>
    </row>
    <row r="220" spans="1:10" ht="5.25" customHeight="1">
      <c r="B220" s="101"/>
      <c r="I220" s="91"/>
      <c r="J220" s="91"/>
    </row>
    <row r="221" spans="1:10">
      <c r="A221" s="66" t="s">
        <v>108</v>
      </c>
      <c r="B221" s="102">
        <v>4050</v>
      </c>
      <c r="I221" s="91"/>
      <c r="J221" s="91"/>
    </row>
    <row r="222" spans="1:10" ht="9" customHeight="1">
      <c r="B222" s="101"/>
      <c r="I222" s="91"/>
      <c r="J222" s="91"/>
    </row>
    <row r="223" spans="1:10">
      <c r="A223" s="45" t="s">
        <v>22</v>
      </c>
      <c r="B223" s="45" t="s">
        <v>23</v>
      </c>
      <c r="C223" s="45">
        <v>2</v>
      </c>
      <c r="D223" s="46" t="s">
        <v>24</v>
      </c>
      <c r="E223" s="46" t="s">
        <v>25</v>
      </c>
      <c r="F223" s="46" t="s">
        <v>26</v>
      </c>
      <c r="I223" s="91"/>
      <c r="J223" s="91"/>
    </row>
    <row r="224" spans="1:10">
      <c r="A224" s="47" t="s">
        <v>110</v>
      </c>
      <c r="B224" s="48" t="s">
        <v>111</v>
      </c>
      <c r="C224" s="103">
        <v>2</v>
      </c>
      <c r="D224" s="104">
        <v>6.97</v>
      </c>
      <c r="E224" s="50"/>
      <c r="I224" s="91"/>
      <c r="J224" s="91"/>
    </row>
    <row r="225" spans="1:10">
      <c r="A225" s="51" t="s">
        <v>112</v>
      </c>
      <c r="B225" s="52" t="s">
        <v>113</v>
      </c>
      <c r="C225" s="70">
        <f>B221</f>
        <v>4050</v>
      </c>
      <c r="D225" s="105">
        <f>IFERROR(+D224/C224,"-")</f>
        <v>3.4849999999999999</v>
      </c>
      <c r="E225" s="54">
        <f>IFERROR(C225*D225,"-")</f>
        <v>14114.25</v>
      </c>
      <c r="I225" s="91"/>
      <c r="J225" s="91"/>
    </row>
    <row r="226" spans="1:10">
      <c r="A226" s="51" t="s">
        <v>114</v>
      </c>
      <c r="B226" s="52" t="s">
        <v>115</v>
      </c>
      <c r="C226" s="106">
        <v>7.12</v>
      </c>
      <c r="D226" s="76">
        <v>33.99</v>
      </c>
      <c r="E226" s="54"/>
      <c r="I226" s="91"/>
      <c r="J226" s="91"/>
    </row>
    <row r="227" spans="1:10">
      <c r="A227" s="51" t="s">
        <v>116</v>
      </c>
      <c r="B227" s="52" t="s">
        <v>113</v>
      </c>
      <c r="C227" s="70">
        <f>C225</f>
        <v>4050</v>
      </c>
      <c r="D227" s="107">
        <f>+C226*D226/1000</f>
        <v>0.2420088</v>
      </c>
      <c r="E227" s="54">
        <f>C227*D227</f>
        <v>980.13563999999997</v>
      </c>
      <c r="I227" s="91"/>
      <c r="J227" s="91"/>
    </row>
    <row r="228" spans="1:10">
      <c r="A228" s="51" t="s">
        <v>117</v>
      </c>
      <c r="B228" s="52" t="s">
        <v>115</v>
      </c>
      <c r="C228" s="106">
        <v>0.3</v>
      </c>
      <c r="D228" s="76">
        <v>33.5</v>
      </c>
      <c r="E228" s="54"/>
      <c r="I228" s="91"/>
      <c r="J228" s="91"/>
    </row>
    <row r="229" spans="1:10">
      <c r="A229" s="51" t="s">
        <v>118</v>
      </c>
      <c r="B229" s="52" t="s">
        <v>113</v>
      </c>
      <c r="C229" s="70">
        <f>C225</f>
        <v>4050</v>
      </c>
      <c r="D229" s="107">
        <f>+C228*D228/1000</f>
        <v>1.0049999999999998E-2</v>
      </c>
      <c r="E229" s="54">
        <f>C229*D229</f>
        <v>40.702499999999993</v>
      </c>
      <c r="I229" s="91"/>
      <c r="J229" s="91"/>
    </row>
    <row r="230" spans="1:10">
      <c r="A230" s="51" t="s">
        <v>119</v>
      </c>
      <c r="B230" s="52" t="s">
        <v>115</v>
      </c>
      <c r="C230" s="106">
        <v>7.12</v>
      </c>
      <c r="D230" s="76">
        <v>27</v>
      </c>
      <c r="E230" s="54"/>
      <c r="I230" s="91"/>
      <c r="J230" s="91"/>
    </row>
    <row r="231" spans="1:10">
      <c r="A231" s="51" t="s">
        <v>120</v>
      </c>
      <c r="B231" s="52" t="s">
        <v>113</v>
      </c>
      <c r="C231" s="70">
        <f>C225</f>
        <v>4050</v>
      </c>
      <c r="D231" s="107">
        <f>+C230*D230/1000</f>
        <v>0.19224000000000002</v>
      </c>
      <c r="E231" s="54">
        <f>C231*D231</f>
        <v>778.57200000000012</v>
      </c>
      <c r="I231" s="91"/>
      <c r="J231" s="91"/>
    </row>
    <row r="232" spans="1:10">
      <c r="A232" s="51" t="s">
        <v>121</v>
      </c>
      <c r="B232" s="52" t="s">
        <v>122</v>
      </c>
      <c r="C232" s="106">
        <v>2</v>
      </c>
      <c r="D232" s="76">
        <v>34.31</v>
      </c>
      <c r="E232" s="54"/>
      <c r="I232" s="91"/>
      <c r="J232" s="91"/>
    </row>
    <row r="233" spans="1:10">
      <c r="A233" s="51" t="s">
        <v>123</v>
      </c>
      <c r="B233" s="52" t="s">
        <v>113</v>
      </c>
      <c r="C233" s="70">
        <f>C225</f>
        <v>4050</v>
      </c>
      <c r="D233" s="107">
        <f>+C232*D232/1000</f>
        <v>6.862E-2</v>
      </c>
      <c r="E233" s="54">
        <f>C233*D233</f>
        <v>277.911</v>
      </c>
      <c r="I233" s="91"/>
      <c r="J233" s="91"/>
    </row>
    <row r="234" spans="1:10">
      <c r="A234" s="66" t="s">
        <v>124</v>
      </c>
      <c r="B234" s="39" t="s">
        <v>125</v>
      </c>
      <c r="C234" s="108"/>
      <c r="D234" s="109">
        <f>IFERROR(D225+D227+D229+D231+D233,0)</f>
        <v>3.9979187999999999</v>
      </c>
      <c r="E234" s="54"/>
      <c r="I234" s="91"/>
      <c r="J234" s="91"/>
    </row>
    <row r="235" spans="1:10">
      <c r="F235" s="88">
        <f>SUM(E224:E233)</f>
        <v>16191.57114</v>
      </c>
      <c r="I235" s="91"/>
      <c r="J235" s="91"/>
    </row>
    <row r="236" spans="1:10" ht="6.75" customHeight="1">
      <c r="I236" s="91"/>
      <c r="J236" s="91"/>
    </row>
    <row r="237" spans="1:10">
      <c r="A237" s="3" t="s">
        <v>126</v>
      </c>
      <c r="I237" s="91"/>
      <c r="J237" s="91"/>
    </row>
    <row r="238" spans="1:10">
      <c r="A238" s="45" t="s">
        <v>22</v>
      </c>
      <c r="B238" s="45" t="s">
        <v>23</v>
      </c>
      <c r="C238" s="45" t="s">
        <v>15</v>
      </c>
      <c r="D238" s="46" t="s">
        <v>24</v>
      </c>
      <c r="E238" s="46" t="s">
        <v>25</v>
      </c>
      <c r="F238" s="46" t="s">
        <v>26</v>
      </c>
      <c r="I238" s="91"/>
      <c r="J238" s="91"/>
    </row>
    <row r="239" spans="1:10">
      <c r="A239" s="47" t="s">
        <v>127</v>
      </c>
      <c r="B239" s="48" t="s">
        <v>125</v>
      </c>
      <c r="C239" s="70">
        <f>C225</f>
        <v>4050</v>
      </c>
      <c r="D239" s="49">
        <v>1.33</v>
      </c>
      <c r="E239" s="50">
        <f>C239*D239</f>
        <v>5386.5</v>
      </c>
      <c r="I239" s="91"/>
      <c r="J239" s="91"/>
    </row>
    <row r="240" spans="1:10">
      <c r="F240" s="88">
        <f>E239</f>
        <v>5386.5</v>
      </c>
      <c r="I240" s="91"/>
      <c r="J240" s="91"/>
    </row>
    <row r="241" spans="1:10" ht="11.25" customHeight="1">
      <c r="I241" s="91"/>
      <c r="J241" s="91"/>
    </row>
    <row r="242" spans="1:10">
      <c r="A242" s="3" t="s">
        <v>128</v>
      </c>
      <c r="I242" s="91"/>
      <c r="J242" s="91"/>
    </row>
    <row r="243" spans="1:10">
      <c r="A243" s="45" t="s">
        <v>22</v>
      </c>
      <c r="B243" s="45" t="s">
        <v>23</v>
      </c>
      <c r="C243" s="45" t="s">
        <v>15</v>
      </c>
      <c r="D243" s="46" t="s">
        <v>24</v>
      </c>
      <c r="E243" s="46" t="s">
        <v>25</v>
      </c>
      <c r="F243" s="46" t="s">
        <v>26</v>
      </c>
      <c r="I243" s="91"/>
      <c r="J243" s="91"/>
    </row>
    <row r="244" spans="1:10">
      <c r="A244" s="47" t="s">
        <v>129</v>
      </c>
      <c r="B244" s="48" t="s">
        <v>58</v>
      </c>
      <c r="C244" s="110">
        <v>6</v>
      </c>
      <c r="D244" s="49">
        <v>2647.58</v>
      </c>
      <c r="E244" s="50">
        <f>C244*D244</f>
        <v>15885.48</v>
      </c>
      <c r="I244" s="91"/>
      <c r="J244" s="91"/>
    </row>
    <row r="245" spans="1:10">
      <c r="A245" s="47" t="s">
        <v>130</v>
      </c>
      <c r="B245" s="48" t="s">
        <v>58</v>
      </c>
      <c r="C245" s="110">
        <v>3</v>
      </c>
      <c r="D245" s="50"/>
      <c r="E245" s="50"/>
      <c r="I245" s="91"/>
      <c r="J245" s="91"/>
    </row>
    <row r="246" spans="1:10">
      <c r="A246" s="47" t="s">
        <v>131</v>
      </c>
      <c r="B246" s="48" t="s">
        <v>58</v>
      </c>
      <c r="C246" s="50">
        <f>C244*C245</f>
        <v>18</v>
      </c>
      <c r="D246" s="49">
        <v>641.03</v>
      </c>
      <c r="E246" s="50">
        <f>C246*D246</f>
        <v>11538.539999999999</v>
      </c>
      <c r="I246" s="91"/>
      <c r="J246" s="91"/>
    </row>
    <row r="247" spans="1:10">
      <c r="A247" s="51" t="s">
        <v>132</v>
      </c>
      <c r="B247" s="52" t="s">
        <v>133</v>
      </c>
      <c r="C247" s="111">
        <v>85000</v>
      </c>
      <c r="D247" s="54">
        <f>E244+E246</f>
        <v>27424.019999999997</v>
      </c>
      <c r="E247" s="54">
        <f>IFERROR(D247/C247,"-")</f>
        <v>0.32263552941176465</v>
      </c>
      <c r="I247" s="91"/>
      <c r="J247" s="91"/>
    </row>
    <row r="248" spans="1:10">
      <c r="A248" s="51" t="s">
        <v>134</v>
      </c>
      <c r="B248" s="52" t="s">
        <v>113</v>
      </c>
      <c r="C248" s="70">
        <f>B221</f>
        <v>4050</v>
      </c>
      <c r="D248" s="54">
        <f>E247</f>
        <v>0.32263552941176465</v>
      </c>
      <c r="E248" s="54">
        <f>IFERROR(C248*D248,0)</f>
        <v>1306.6738941176468</v>
      </c>
      <c r="I248" s="91"/>
      <c r="J248" s="91"/>
    </row>
    <row r="249" spans="1:10">
      <c r="F249" s="88">
        <f>E248</f>
        <v>1306.6738941176468</v>
      </c>
      <c r="I249" s="91"/>
      <c r="J249" s="91"/>
    </row>
    <row r="250" spans="1:10" ht="7.5" customHeight="1">
      <c r="I250" s="91"/>
      <c r="J250" s="91"/>
    </row>
    <row r="251" spans="1:10" ht="11.25" hidden="1" customHeight="1">
      <c r="A251" s="224" t="s">
        <v>5</v>
      </c>
      <c r="B251" s="3" t="s">
        <v>379</v>
      </c>
      <c r="I251" s="91"/>
      <c r="J251" s="91"/>
    </row>
    <row r="252" spans="1:10" ht="11.25" hidden="1" customHeight="1">
      <c r="A252" s="15"/>
      <c r="I252" s="91"/>
      <c r="J252" s="91"/>
    </row>
    <row r="253" spans="1:10" ht="11.25" hidden="1" customHeight="1">
      <c r="A253" s="112" t="s">
        <v>6</v>
      </c>
      <c r="I253" s="91"/>
      <c r="J253" s="91"/>
    </row>
    <row r="254" spans="1:10" ht="11.25" hidden="1" customHeight="1">
      <c r="A254" s="45" t="s">
        <v>22</v>
      </c>
      <c r="B254" s="45" t="s">
        <v>23</v>
      </c>
      <c r="C254" s="45" t="s">
        <v>15</v>
      </c>
      <c r="D254" s="46" t="s">
        <v>24</v>
      </c>
      <c r="E254" s="46" t="s">
        <v>25</v>
      </c>
      <c r="F254" s="46" t="s">
        <v>26</v>
      </c>
      <c r="I254" s="91"/>
      <c r="J254" s="91"/>
    </row>
    <row r="255" spans="1:10" ht="11.25" hidden="1" customHeight="1">
      <c r="A255" s="47" t="s">
        <v>78</v>
      </c>
      <c r="B255" s="48" t="s">
        <v>58</v>
      </c>
      <c r="C255" s="48">
        <v>1</v>
      </c>
      <c r="D255" s="49">
        <v>109676</v>
      </c>
      <c r="E255" s="50">
        <f>C255*D255</f>
        <v>109676</v>
      </c>
      <c r="I255" s="91"/>
      <c r="J255" s="91"/>
    </row>
    <row r="256" spans="1:10" ht="11.25" hidden="1" customHeight="1">
      <c r="A256" s="51" t="s">
        <v>79</v>
      </c>
      <c r="B256" s="52" t="s">
        <v>80</v>
      </c>
      <c r="C256" s="60">
        <v>10</v>
      </c>
      <c r="D256" s="54"/>
      <c r="E256" s="54"/>
      <c r="I256" s="91"/>
      <c r="J256" s="91"/>
    </row>
    <row r="257" spans="1:10" ht="11.25" hidden="1" customHeight="1">
      <c r="A257" s="51" t="s">
        <v>81</v>
      </c>
      <c r="B257" s="52" t="s">
        <v>80</v>
      </c>
      <c r="C257" s="60">
        <v>0</v>
      </c>
      <c r="D257" s="54"/>
      <c r="E257" s="54"/>
      <c r="F257" s="90"/>
      <c r="I257" s="91"/>
      <c r="J257" s="91"/>
    </row>
    <row r="258" spans="1:10" ht="11.25" hidden="1" customHeight="1">
      <c r="A258" s="51" t="s">
        <v>82</v>
      </c>
      <c r="B258" s="52" t="s">
        <v>4</v>
      </c>
      <c r="C258" s="59">
        <v>65.180000000000007</v>
      </c>
      <c r="D258" s="54">
        <f>E255</f>
        <v>109676</v>
      </c>
      <c r="E258" s="54">
        <f>C258*D258/100</f>
        <v>71486.816800000001</v>
      </c>
      <c r="I258" s="91"/>
      <c r="J258" s="91"/>
    </row>
    <row r="259" spans="1:10" ht="11.25" hidden="1" customHeight="1" thickBot="1">
      <c r="A259" s="92" t="s">
        <v>83</v>
      </c>
      <c r="B259" s="93" t="s">
        <v>28</v>
      </c>
      <c r="C259" s="93">
        <f>C256*12</f>
        <v>120</v>
      </c>
      <c r="D259" s="94">
        <f>IF(C257&lt;=C256,E258,0)</f>
        <v>71486.816800000001</v>
      </c>
      <c r="E259" s="94">
        <f>IFERROR(D259/C259,0)</f>
        <v>595.72347333333335</v>
      </c>
      <c r="I259" s="91"/>
      <c r="J259" s="91"/>
    </row>
    <row r="260" spans="1:10" ht="11.25" hidden="1" customHeight="1" thickTop="1">
      <c r="A260" s="55" t="s">
        <v>89</v>
      </c>
      <c r="B260" s="56"/>
      <c r="C260" s="56"/>
      <c r="D260" s="57"/>
      <c r="E260" s="58">
        <f>E259</f>
        <v>595.72347333333335</v>
      </c>
      <c r="I260" s="91"/>
      <c r="J260" s="91"/>
    </row>
    <row r="261" spans="1:10" ht="11.25" hidden="1" customHeight="1">
      <c r="A261" s="66" t="s">
        <v>90</v>
      </c>
      <c r="B261" s="39" t="s">
        <v>58</v>
      </c>
      <c r="C261" s="60">
        <v>1</v>
      </c>
      <c r="D261" s="10">
        <f>E260</f>
        <v>595.72347333333335</v>
      </c>
      <c r="E261" s="58">
        <f>C261*D261</f>
        <v>595.72347333333335</v>
      </c>
      <c r="G261" s="3"/>
    </row>
    <row r="262" spans="1:10" ht="11.25" hidden="1" customHeight="1">
      <c r="A262" s="95"/>
      <c r="B262" s="95"/>
      <c r="C262" s="95"/>
      <c r="D262" s="61" t="s">
        <v>43</v>
      </c>
      <c r="E262" s="62">
        <v>0</v>
      </c>
      <c r="F262" s="88">
        <f>E261*E262</f>
        <v>0</v>
      </c>
      <c r="G262" s="3"/>
    </row>
    <row r="263" spans="1:10" ht="11.25" hidden="1" customHeight="1">
      <c r="G263" s="3"/>
    </row>
    <row r="264" spans="1:10" ht="11.25" hidden="1" customHeight="1">
      <c r="A264" s="3" t="s">
        <v>7</v>
      </c>
      <c r="G264" s="3"/>
    </row>
    <row r="265" spans="1:10" ht="11.25" hidden="1" customHeight="1">
      <c r="A265" s="97" t="s">
        <v>22</v>
      </c>
      <c r="B265" s="97" t="s">
        <v>23</v>
      </c>
      <c r="C265" s="97" t="s">
        <v>15</v>
      </c>
      <c r="D265" s="46" t="s">
        <v>24</v>
      </c>
      <c r="E265" s="98" t="s">
        <v>25</v>
      </c>
      <c r="F265" s="46" t="s">
        <v>26</v>
      </c>
      <c r="G265" s="3"/>
    </row>
    <row r="266" spans="1:10" ht="11.25" hidden="1" customHeight="1">
      <c r="A266" s="51" t="s">
        <v>93</v>
      </c>
      <c r="B266" s="52" t="s">
        <v>58</v>
      </c>
      <c r="C266" s="48">
        <v>1</v>
      </c>
      <c r="D266" s="54">
        <f>D255</f>
        <v>109676</v>
      </c>
      <c r="E266" s="54">
        <f>C266*D266</f>
        <v>109676</v>
      </c>
      <c r="F266" s="90"/>
      <c r="G266" s="3"/>
    </row>
    <row r="267" spans="1:10" ht="11.25" hidden="1" customHeight="1">
      <c r="A267" s="51" t="s">
        <v>94</v>
      </c>
      <c r="B267" s="52" t="s">
        <v>4</v>
      </c>
      <c r="C267" s="53">
        <v>14.5</v>
      </c>
      <c r="D267" s="54"/>
      <c r="E267" s="54"/>
      <c r="F267" s="90"/>
      <c r="G267" s="3"/>
    </row>
    <row r="268" spans="1:10" ht="11.25" hidden="1" customHeight="1">
      <c r="A268" s="51" t="s">
        <v>95</v>
      </c>
      <c r="B268" s="52" t="s">
        <v>35</v>
      </c>
      <c r="C268" s="99">
        <f>IFERROR(IF(C257&lt;=C256,E255-(C258/(100*C256)*C257)*E255,E255-E258),0)</f>
        <v>109676</v>
      </c>
      <c r="D268" s="54"/>
      <c r="E268" s="54"/>
      <c r="F268" s="90"/>
      <c r="G268" s="3"/>
    </row>
    <row r="269" spans="1:10" ht="11.25" hidden="1" customHeight="1">
      <c r="A269" s="51" t="s">
        <v>96</v>
      </c>
      <c r="B269" s="52" t="s">
        <v>35</v>
      </c>
      <c r="C269" s="54">
        <f>IFERROR(IF(C257&gt;=C256,C268,((((C268)-(E255-E258))*(((C256-C257)+1)/(2*(C256-C257))))+(E255-E258))),0)</f>
        <v>77506.932440000004</v>
      </c>
      <c r="D269" s="54"/>
      <c r="E269" s="54"/>
      <c r="F269" s="90"/>
      <c r="G269" s="3"/>
    </row>
    <row r="270" spans="1:10" ht="11.25" hidden="1" customHeight="1" thickBot="1">
      <c r="A270" s="92" t="s">
        <v>97</v>
      </c>
      <c r="B270" s="93" t="s">
        <v>35</v>
      </c>
      <c r="C270" s="93"/>
      <c r="D270" s="94">
        <f>C267*C269/12/100</f>
        <v>936.54210031666673</v>
      </c>
      <c r="E270" s="94">
        <f>D270</f>
        <v>936.54210031666673</v>
      </c>
      <c r="F270" s="90"/>
      <c r="G270" s="3"/>
    </row>
    <row r="271" spans="1:10" ht="11.25" hidden="1" customHeight="1" thickTop="1">
      <c r="A271" s="55" t="s">
        <v>89</v>
      </c>
      <c r="B271" s="56"/>
      <c r="C271" s="56">
        <v>1</v>
      </c>
      <c r="D271" s="57">
        <v>77520</v>
      </c>
      <c r="E271" s="58">
        <f>E270</f>
        <v>936.54210031666673</v>
      </c>
      <c r="F271" s="259"/>
      <c r="G271" s="3"/>
    </row>
    <row r="272" spans="1:10" ht="11.25" hidden="1" customHeight="1">
      <c r="A272" s="66" t="s">
        <v>90</v>
      </c>
      <c r="B272" s="39" t="s">
        <v>58</v>
      </c>
      <c r="C272" s="52">
        <v>1</v>
      </c>
      <c r="D272" s="10">
        <f>E271</f>
        <v>936.54210031666673</v>
      </c>
      <c r="E272" s="58">
        <f>C272*D272</f>
        <v>936.54210031666673</v>
      </c>
      <c r="F272" s="90"/>
      <c r="G272" s="3"/>
    </row>
    <row r="273" spans="1:9" ht="11.25" hidden="1" customHeight="1">
      <c r="C273" s="100"/>
      <c r="D273" s="61" t="s">
        <v>43</v>
      </c>
      <c r="E273" s="62">
        <v>0</v>
      </c>
      <c r="F273" s="88">
        <f>E272*E273</f>
        <v>0</v>
      </c>
      <c r="G273" s="3"/>
    </row>
    <row r="274" spans="1:9" ht="11.25" hidden="1" customHeight="1">
      <c r="G274" s="3"/>
    </row>
    <row r="275" spans="1:9" ht="11.25" hidden="1" customHeight="1">
      <c r="A275" s="3" t="s">
        <v>8</v>
      </c>
      <c r="G275" s="3"/>
    </row>
    <row r="276" spans="1:9" ht="11.25" hidden="1" customHeight="1">
      <c r="A276" s="45" t="s">
        <v>22</v>
      </c>
      <c r="B276" s="45" t="s">
        <v>23</v>
      </c>
      <c r="C276" s="45" t="s">
        <v>15</v>
      </c>
      <c r="D276" s="46" t="s">
        <v>24</v>
      </c>
      <c r="E276" s="46" t="s">
        <v>25</v>
      </c>
      <c r="F276" s="46" t="s">
        <v>26</v>
      </c>
      <c r="G276" s="3"/>
    </row>
    <row r="277" spans="1:9" ht="11.25" hidden="1" customHeight="1">
      <c r="A277" s="47" t="s">
        <v>103</v>
      </c>
      <c r="B277" s="48" t="s">
        <v>58</v>
      </c>
      <c r="C277" s="50">
        <v>1</v>
      </c>
      <c r="D277" s="50">
        <f>0.03*($E$255)</f>
        <v>3290.2799999999997</v>
      </c>
      <c r="E277" s="50">
        <f>C277*D277</f>
        <v>3290.2799999999997</v>
      </c>
      <c r="G277" s="3"/>
    </row>
    <row r="278" spans="1:9" ht="11.25" hidden="1" customHeight="1">
      <c r="A278" s="51" t="s">
        <v>104</v>
      </c>
      <c r="B278" s="52" t="s">
        <v>58</v>
      </c>
      <c r="C278" s="50">
        <v>0</v>
      </c>
      <c r="D278" s="76">
        <v>191.2</v>
      </c>
      <c r="E278" s="54">
        <f>C278*D278</f>
        <v>0</v>
      </c>
      <c r="G278" s="3"/>
    </row>
    <row r="279" spans="1:9" ht="11.25" hidden="1" customHeight="1">
      <c r="A279" s="51" t="s">
        <v>105</v>
      </c>
      <c r="B279" s="52" t="s">
        <v>58</v>
      </c>
      <c r="C279" s="50">
        <v>0</v>
      </c>
      <c r="D279" s="76">
        <v>2200</v>
      </c>
      <c r="E279" s="54">
        <f>C279*D279</f>
        <v>0</v>
      </c>
      <c r="F279" s="57"/>
      <c r="G279" s="3"/>
      <c r="I279" s="197"/>
    </row>
    <row r="280" spans="1:9" ht="11.25" hidden="1" customHeight="1">
      <c r="A280" s="66" t="s">
        <v>106</v>
      </c>
      <c r="B280" s="39" t="s">
        <v>28</v>
      </c>
      <c r="C280" s="39">
        <v>12</v>
      </c>
      <c r="D280" s="10">
        <f>SUM(D277:D279)</f>
        <v>5681.48</v>
      </c>
      <c r="E280" s="10">
        <f>D280/C280</f>
        <v>473.45666666666665</v>
      </c>
      <c r="G280" s="3"/>
    </row>
    <row r="281" spans="1:9" ht="11.25" hidden="1" customHeight="1">
      <c r="D281" s="61" t="s">
        <v>43</v>
      </c>
      <c r="E281" s="62">
        <v>0</v>
      </c>
      <c r="F281" s="63">
        <f>E280*E281</f>
        <v>0</v>
      </c>
      <c r="G281" s="3"/>
    </row>
    <row r="282" spans="1:9" ht="11.25" hidden="1" customHeight="1">
      <c r="G282" s="3"/>
    </row>
    <row r="283" spans="1:9" ht="11.25" hidden="1" customHeight="1">
      <c r="A283" s="3" t="s">
        <v>9</v>
      </c>
      <c r="B283" s="101">
        <v>2500</v>
      </c>
      <c r="G283" s="3"/>
    </row>
    <row r="284" spans="1:9" ht="11.25" hidden="1" customHeight="1">
      <c r="A284" s="66" t="s">
        <v>108</v>
      </c>
      <c r="B284" s="102">
        <v>0</v>
      </c>
      <c r="G284" s="3"/>
    </row>
    <row r="285" spans="1:9" ht="11.25" hidden="1" customHeight="1">
      <c r="B285" s="101"/>
      <c r="G285" s="3"/>
    </row>
    <row r="286" spans="1:9" ht="11.25" hidden="1" customHeight="1">
      <c r="A286" s="45" t="s">
        <v>22</v>
      </c>
      <c r="B286" s="45" t="s">
        <v>23</v>
      </c>
      <c r="C286" s="45" t="s">
        <v>109</v>
      </c>
      <c r="D286" s="46" t="s">
        <v>24</v>
      </c>
      <c r="E286" s="46" t="s">
        <v>25</v>
      </c>
      <c r="F286" s="46" t="s">
        <v>26</v>
      </c>
      <c r="G286" s="3"/>
    </row>
    <row r="287" spans="1:9" ht="11.25" hidden="1" customHeight="1">
      <c r="A287" s="47" t="s">
        <v>135</v>
      </c>
      <c r="B287" s="48" t="s">
        <v>111</v>
      </c>
      <c r="C287" s="103">
        <v>9</v>
      </c>
      <c r="D287" s="104">
        <v>6.5</v>
      </c>
      <c r="E287" s="50"/>
      <c r="G287" s="3"/>
    </row>
    <row r="288" spans="1:9" ht="11.25" hidden="1" customHeight="1">
      <c r="A288" s="51" t="s">
        <v>136</v>
      </c>
      <c r="B288" s="52" t="s">
        <v>113</v>
      </c>
      <c r="C288" s="70">
        <f>B284</f>
        <v>0</v>
      </c>
      <c r="D288" s="105">
        <f>IFERROR(+D287/C287,"-")</f>
        <v>0.72222222222222221</v>
      </c>
      <c r="E288" s="54">
        <f>IFERROR(C288*D288,"-")</f>
        <v>0</v>
      </c>
      <c r="G288" s="3"/>
    </row>
    <row r="289" spans="1:10" ht="11.25" hidden="1" customHeight="1">
      <c r="A289" s="51" t="s">
        <v>114</v>
      </c>
      <c r="B289" s="52" t="s">
        <v>115</v>
      </c>
      <c r="C289" s="106">
        <v>0.4</v>
      </c>
      <c r="D289" s="76">
        <v>43.5</v>
      </c>
      <c r="E289" s="54"/>
      <c r="G289" s="3"/>
    </row>
    <row r="290" spans="1:10" ht="11.25" hidden="1" customHeight="1">
      <c r="A290" s="51" t="s">
        <v>116</v>
      </c>
      <c r="B290" s="52" t="s">
        <v>113</v>
      </c>
      <c r="C290" s="70">
        <f>C288</f>
        <v>0</v>
      </c>
      <c r="D290" s="107">
        <f>+C289*D289/1000</f>
        <v>1.7400000000000002E-2</v>
      </c>
      <c r="E290" s="54">
        <f>C290*D290</f>
        <v>0</v>
      </c>
      <c r="G290" s="3"/>
    </row>
    <row r="291" spans="1:10" ht="11.25" hidden="1" customHeight="1">
      <c r="A291" s="66" t="s">
        <v>124</v>
      </c>
      <c r="B291" s="39" t="s">
        <v>125</v>
      </c>
      <c r="C291" s="108">
        <v>1</v>
      </c>
      <c r="D291" s="109">
        <v>86</v>
      </c>
      <c r="E291" s="54">
        <f>((C291*D291)/12)</f>
        <v>7.166666666666667</v>
      </c>
      <c r="G291" s="3"/>
    </row>
    <row r="292" spans="1:10" ht="11.25" hidden="1" customHeight="1">
      <c r="F292" s="88">
        <f>SUM(E287:E290)</f>
        <v>0</v>
      </c>
      <c r="G292" s="3"/>
    </row>
    <row r="293" spans="1:10" ht="11.25" hidden="1" customHeight="1">
      <c r="G293" s="3"/>
    </row>
    <row r="294" spans="1:10" hidden="1">
      <c r="A294" s="3" t="s">
        <v>10</v>
      </c>
      <c r="I294" s="91"/>
      <c r="J294" s="91"/>
    </row>
    <row r="295" spans="1:10" hidden="1">
      <c r="A295" s="45" t="s">
        <v>22</v>
      </c>
      <c r="B295" s="45" t="s">
        <v>23</v>
      </c>
      <c r="C295" s="45" t="s">
        <v>15</v>
      </c>
      <c r="D295" s="46" t="s">
        <v>24</v>
      </c>
      <c r="E295" s="46" t="s">
        <v>25</v>
      </c>
      <c r="F295" s="46" t="s">
        <v>26</v>
      </c>
      <c r="I295" s="91"/>
      <c r="J295" s="91"/>
    </row>
    <row r="296" spans="1:10" hidden="1">
      <c r="A296" s="47" t="s">
        <v>137</v>
      </c>
      <c r="B296" s="48" t="s">
        <v>125</v>
      </c>
      <c r="C296" s="70">
        <f>B284</f>
        <v>0</v>
      </c>
      <c r="D296" s="49">
        <v>0.18</v>
      </c>
      <c r="E296" s="50">
        <f>C296*D296</f>
        <v>0</v>
      </c>
      <c r="I296" s="91"/>
      <c r="J296" s="91"/>
    </row>
    <row r="297" spans="1:10" hidden="1">
      <c r="F297" s="88">
        <f>E296</f>
        <v>0</v>
      </c>
      <c r="I297" s="91"/>
      <c r="J297" s="91"/>
    </row>
    <row r="298" spans="1:10" ht="11.25" hidden="1" customHeight="1">
      <c r="I298" s="91"/>
      <c r="J298" s="91"/>
    </row>
    <row r="299" spans="1:10" hidden="1">
      <c r="A299" s="3" t="s">
        <v>11</v>
      </c>
      <c r="I299" s="91"/>
      <c r="J299" s="91"/>
    </row>
    <row r="300" spans="1:10" hidden="1">
      <c r="A300" s="45" t="s">
        <v>22</v>
      </c>
      <c r="B300" s="45" t="s">
        <v>23</v>
      </c>
      <c r="C300" s="45" t="s">
        <v>15</v>
      </c>
      <c r="D300" s="46" t="s">
        <v>24</v>
      </c>
      <c r="E300" s="46" t="s">
        <v>25</v>
      </c>
      <c r="F300" s="46" t="s">
        <v>26</v>
      </c>
      <c r="I300" s="91"/>
      <c r="J300" s="91"/>
    </row>
    <row r="301" spans="1:10" hidden="1">
      <c r="A301" s="47" t="s">
        <v>138</v>
      </c>
      <c r="B301" s="48" t="s">
        <v>58</v>
      </c>
      <c r="C301" s="110">
        <v>4</v>
      </c>
      <c r="D301" s="49">
        <v>657.28</v>
      </c>
      <c r="E301" s="50">
        <f>C301*D301</f>
        <v>2629.12</v>
      </c>
      <c r="I301" s="91"/>
      <c r="J301" s="91"/>
    </row>
    <row r="302" spans="1:10" hidden="1">
      <c r="A302" s="113" t="s">
        <v>139</v>
      </c>
      <c r="B302" s="52" t="s">
        <v>133</v>
      </c>
      <c r="C302" s="111">
        <v>50000</v>
      </c>
      <c r="D302" s="54">
        <f>E301</f>
        <v>2629.12</v>
      </c>
      <c r="E302" s="54">
        <f>IFERROR(D302/C302,"-")</f>
        <v>5.2582399999999994E-2</v>
      </c>
      <c r="I302" s="91"/>
      <c r="J302" s="91"/>
    </row>
    <row r="303" spans="1:10" hidden="1">
      <c r="A303" s="51" t="s">
        <v>134</v>
      </c>
      <c r="B303" s="52" t="s">
        <v>113</v>
      </c>
      <c r="C303" s="70">
        <f>B284</f>
        <v>0</v>
      </c>
      <c r="D303" s="54">
        <f>E302</f>
        <v>5.2582399999999994E-2</v>
      </c>
      <c r="E303" s="54">
        <f>IFERROR(C303*D303,0)</f>
        <v>0</v>
      </c>
      <c r="I303" s="91"/>
      <c r="J303" s="91"/>
    </row>
    <row r="304" spans="1:10" hidden="1">
      <c r="F304" s="88">
        <f>E303</f>
        <v>0</v>
      </c>
      <c r="I304" s="91"/>
      <c r="J304" s="91"/>
    </row>
    <row r="305" spans="1:7" ht="6" customHeight="1">
      <c r="G305" s="3"/>
    </row>
    <row r="306" spans="1:7">
      <c r="A306" s="77" t="s">
        <v>140</v>
      </c>
      <c r="B306" s="78"/>
      <c r="C306" s="78"/>
      <c r="D306" s="8"/>
      <c r="E306" s="79"/>
      <c r="F306" s="88">
        <f>+SUM(F178:F304)</f>
        <v>32159.45703720098</v>
      </c>
      <c r="G306" s="313"/>
    </row>
    <row r="307" spans="1:7" ht="11.25" customHeight="1">
      <c r="G307" s="3"/>
    </row>
    <row r="308" spans="1:7">
      <c r="A308" s="15" t="s">
        <v>141</v>
      </c>
      <c r="B308" s="15"/>
      <c r="C308" s="15"/>
      <c r="D308" s="14"/>
      <c r="E308" s="14"/>
      <c r="F308" s="57"/>
      <c r="G308" s="3"/>
    </row>
    <row r="309" spans="1:7" ht="6" customHeight="1">
      <c r="G309" s="3"/>
    </row>
    <row r="310" spans="1:7">
      <c r="A310" s="45" t="s">
        <v>22</v>
      </c>
      <c r="B310" s="45" t="s">
        <v>23</v>
      </c>
      <c r="C310" s="45" t="s">
        <v>15</v>
      </c>
      <c r="D310" s="46" t="s">
        <v>24</v>
      </c>
      <c r="E310" s="46" t="s">
        <v>25</v>
      </c>
      <c r="F310" s="46" t="s">
        <v>26</v>
      </c>
      <c r="G310" s="3"/>
    </row>
    <row r="311" spans="1:7">
      <c r="A311" s="51" t="s">
        <v>142</v>
      </c>
      <c r="B311" s="52" t="s">
        <v>58</v>
      </c>
      <c r="C311" s="81">
        <v>8.3333333333333329E-2</v>
      </c>
      <c r="D311" s="49">
        <v>36.9</v>
      </c>
      <c r="E311" s="54">
        <f>C311*D311*2</f>
        <v>6.1499999999999995</v>
      </c>
      <c r="F311" s="90"/>
      <c r="G311" s="3"/>
    </row>
    <row r="312" spans="1:7">
      <c r="A312" s="51" t="s">
        <v>143</v>
      </c>
      <c r="B312" s="52" t="s">
        <v>58</v>
      </c>
      <c r="C312" s="81">
        <v>8.3333333333333329E-2</v>
      </c>
      <c r="D312" s="49">
        <v>42.9</v>
      </c>
      <c r="E312" s="54">
        <f t="shared" ref="E312:E314" si="2">C312*D312*2</f>
        <v>7.1499999999999995</v>
      </c>
      <c r="F312" s="90"/>
      <c r="G312" s="3"/>
    </row>
    <row r="313" spans="1:7">
      <c r="A313" s="51" t="s">
        <v>144</v>
      </c>
      <c r="B313" s="52" t="s">
        <v>58</v>
      </c>
      <c r="C313" s="81">
        <v>0.16666666666666666</v>
      </c>
      <c r="D313" s="49">
        <v>52.76</v>
      </c>
      <c r="E313" s="54">
        <f t="shared" si="2"/>
        <v>17.586666666666666</v>
      </c>
      <c r="F313" s="90"/>
      <c r="G313" s="3"/>
    </row>
    <row r="314" spans="1:7">
      <c r="A314" s="51" t="s">
        <v>380</v>
      </c>
      <c r="B314" s="52" t="s">
        <v>58</v>
      </c>
      <c r="C314" s="81">
        <v>1.5</v>
      </c>
      <c r="D314" s="49">
        <v>27.46</v>
      </c>
      <c r="E314" s="54">
        <f t="shared" si="2"/>
        <v>82.38</v>
      </c>
      <c r="F314" s="90"/>
      <c r="G314" s="3"/>
    </row>
    <row r="315" spans="1:7">
      <c r="A315" s="51" t="s">
        <v>381</v>
      </c>
      <c r="B315" s="52" t="s">
        <v>145</v>
      </c>
      <c r="C315" s="81">
        <v>2</v>
      </c>
      <c r="D315" s="49">
        <v>306.56</v>
      </c>
      <c r="E315" s="54">
        <f>(C315*D315)/12</f>
        <v>51.093333333333334</v>
      </c>
      <c r="F315" s="90"/>
      <c r="G315" s="3"/>
    </row>
    <row r="316" spans="1:7">
      <c r="A316" s="15"/>
      <c r="B316" s="15"/>
      <c r="C316" s="15"/>
      <c r="D316" s="15"/>
      <c r="E316" s="14"/>
      <c r="F316" s="88">
        <f>SUM(E311:E315)</f>
        <v>164.35999999999999</v>
      </c>
      <c r="G316" s="3"/>
    </row>
    <row r="317" spans="1:7" ht="11.25" customHeight="1">
      <c r="G317" s="3"/>
    </row>
    <row r="318" spans="1:7">
      <c r="A318" s="77" t="s">
        <v>146</v>
      </c>
      <c r="B318" s="78"/>
      <c r="C318" s="78"/>
      <c r="D318" s="8"/>
      <c r="E318" s="79"/>
      <c r="F318" s="88">
        <f>+F316</f>
        <v>164.35999999999999</v>
      </c>
      <c r="G318" s="3"/>
    </row>
    <row r="319" spans="1:7" ht="11.25" customHeight="1">
      <c r="G319" s="3"/>
    </row>
    <row r="320" spans="1:7">
      <c r="A320" s="15" t="s">
        <v>147</v>
      </c>
      <c r="B320" s="15"/>
      <c r="C320" s="15"/>
      <c r="D320" s="14"/>
      <c r="E320" s="14"/>
      <c r="F320" s="57"/>
    </row>
    <row r="321" spans="1:64" ht="6" customHeight="1"/>
    <row r="322" spans="1:64">
      <c r="A322" s="45" t="s">
        <v>22</v>
      </c>
      <c r="B322" s="45" t="s">
        <v>23</v>
      </c>
      <c r="C322" s="45" t="s">
        <v>15</v>
      </c>
      <c r="D322" s="46" t="s">
        <v>24</v>
      </c>
      <c r="E322" s="46" t="s">
        <v>25</v>
      </c>
      <c r="F322" s="46" t="s">
        <v>26</v>
      </c>
    </row>
    <row r="323" spans="1:64">
      <c r="A323" s="51" t="s">
        <v>148</v>
      </c>
      <c r="B323" s="114" t="s">
        <v>145</v>
      </c>
      <c r="C323" s="86">
        <v>2</v>
      </c>
      <c r="D323" s="76">
        <v>79.400000000000006</v>
      </c>
      <c r="E323" s="54">
        <f>+D323*C323</f>
        <v>158.80000000000001</v>
      </c>
      <c r="F323" s="90"/>
    </row>
    <row r="324" spans="1:64">
      <c r="A324" s="51" t="s">
        <v>149</v>
      </c>
      <c r="B324" s="114" t="s">
        <v>28</v>
      </c>
      <c r="C324" s="52">
        <v>12</v>
      </c>
      <c r="D324" s="115">
        <f>SUM(E323:E323)</f>
        <v>158.80000000000001</v>
      </c>
      <c r="E324" s="115">
        <f>+D324/C324</f>
        <v>13.233333333333334</v>
      </c>
      <c r="F324" s="90"/>
    </row>
    <row r="325" spans="1:64">
      <c r="A325" s="51" t="s">
        <v>150</v>
      </c>
      <c r="B325" s="52" t="s">
        <v>58</v>
      </c>
      <c r="C325" s="86">
        <v>2</v>
      </c>
      <c r="D325" s="76">
        <f>D323</f>
        <v>79.400000000000006</v>
      </c>
      <c r="E325" s="54">
        <f>C325*D325</f>
        <v>158.80000000000001</v>
      </c>
      <c r="F325" s="90"/>
    </row>
    <row r="326" spans="1:64">
      <c r="A326" s="51" t="s">
        <v>151</v>
      </c>
      <c r="B326" s="114" t="s">
        <v>28</v>
      </c>
      <c r="C326" s="52">
        <v>1</v>
      </c>
      <c r="D326" s="115">
        <f>+E325</f>
        <v>158.80000000000001</v>
      </c>
      <c r="E326" s="115">
        <f>+D326/C326</f>
        <v>158.80000000000001</v>
      </c>
      <c r="F326" s="90"/>
    </row>
    <row r="327" spans="1:64">
      <c r="A327" s="64"/>
      <c r="B327" s="64"/>
      <c r="C327" s="64"/>
      <c r="D327" s="61" t="s">
        <v>43</v>
      </c>
      <c r="E327" s="62">
        <f>$B$50</f>
        <v>1</v>
      </c>
      <c r="F327" s="88">
        <f>(E324+E326)*E327</f>
        <v>172.03333333333336</v>
      </c>
    </row>
    <row r="328" spans="1:64" ht="11.25" customHeight="1">
      <c r="G328" s="116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</row>
    <row r="329" spans="1:64">
      <c r="A329" s="77" t="s">
        <v>152</v>
      </c>
      <c r="B329" s="78"/>
      <c r="C329" s="78"/>
      <c r="D329" s="8"/>
      <c r="E329" s="79"/>
      <c r="F329" s="88">
        <f>+F327</f>
        <v>172.03333333333336</v>
      </c>
    </row>
    <row r="330" spans="1:64" ht="13.5" customHeight="1">
      <c r="A330" s="15"/>
      <c r="B330" s="15"/>
      <c r="C330" s="15"/>
      <c r="D330" s="314"/>
      <c r="E330" s="314"/>
      <c r="F330" s="315"/>
    </row>
    <row r="331" spans="1:64" ht="11.25" customHeight="1"/>
    <row r="332" spans="1:64" ht="17.25" customHeight="1">
      <c r="A332" s="77" t="s">
        <v>153</v>
      </c>
      <c r="B332" s="40"/>
      <c r="C332" s="40"/>
      <c r="D332" s="29"/>
      <c r="E332" s="87"/>
      <c r="F332" s="75">
        <f>+F136+F171+F306+F318+F329</f>
        <v>74048.850212034959</v>
      </c>
    </row>
    <row r="333" spans="1:64" ht="11.25" customHeight="1"/>
    <row r="334" spans="1:64">
      <c r="A334" s="15" t="s">
        <v>403</v>
      </c>
    </row>
    <row r="335" spans="1:64" ht="11.25" customHeight="1"/>
    <row r="336" spans="1:64">
      <c r="A336" s="45" t="s">
        <v>22</v>
      </c>
      <c r="B336" s="45" t="s">
        <v>23</v>
      </c>
      <c r="C336" s="45" t="s">
        <v>15</v>
      </c>
      <c r="D336" s="46" t="s">
        <v>24</v>
      </c>
      <c r="E336" s="46" t="s">
        <v>25</v>
      </c>
      <c r="F336" s="46" t="s">
        <v>26</v>
      </c>
    </row>
    <row r="337" spans="1:64">
      <c r="A337" s="47" t="s">
        <v>154</v>
      </c>
      <c r="B337" s="48" t="s">
        <v>4</v>
      </c>
      <c r="C337" s="59">
        <f>'4_BDI'!C20*100</f>
        <v>28.07</v>
      </c>
      <c r="D337" s="50">
        <f>+F332</f>
        <v>74048.850212034959</v>
      </c>
      <c r="E337" s="50">
        <f>C337*D337/100</f>
        <v>20785.512254518213</v>
      </c>
    </row>
    <row r="338" spans="1:64">
      <c r="F338" s="88">
        <f>+E337</f>
        <v>20785.512254518213</v>
      </c>
    </row>
    <row r="339" spans="1:64" ht="11.25" customHeight="1"/>
    <row r="340" spans="1:64">
      <c r="A340" s="77" t="s">
        <v>155</v>
      </c>
      <c r="B340" s="40"/>
      <c r="C340" s="40"/>
      <c r="D340" s="29"/>
      <c r="E340" s="87"/>
      <c r="F340" s="75">
        <f>F338</f>
        <v>20785.512254518213</v>
      </c>
    </row>
    <row r="341" spans="1:64">
      <c r="A341" s="15"/>
      <c r="B341" s="15"/>
      <c r="C341" s="15"/>
      <c r="D341" s="14"/>
      <c r="E341" s="14"/>
      <c r="F341" s="57"/>
    </row>
    <row r="342" spans="1:64" ht="11.25" customHeight="1"/>
    <row r="343" spans="1:64" ht="24.75" customHeight="1">
      <c r="A343" s="77" t="s">
        <v>156</v>
      </c>
      <c r="B343" s="40"/>
      <c r="C343" s="40"/>
      <c r="D343" s="29"/>
      <c r="E343" s="87"/>
      <c r="F343" s="75">
        <f>F332+F340</f>
        <v>94834.362466553168</v>
      </c>
      <c r="H343" s="212">
        <f>F343/6</f>
        <v>15805.727077758862</v>
      </c>
    </row>
    <row r="344" spans="1:64" ht="24.75" customHeight="1">
      <c r="A344" s="15"/>
      <c r="D344" s="227"/>
      <c r="E344" s="227"/>
      <c r="F344" s="311"/>
      <c r="H344" s="212"/>
    </row>
    <row r="345" spans="1:64" ht="24.75" customHeight="1">
      <c r="A345" s="15"/>
      <c r="B345" s="301" t="s">
        <v>333</v>
      </c>
      <c r="D345" s="227"/>
      <c r="E345" s="227"/>
      <c r="F345" s="316">
        <f>(F343/2)</f>
        <v>47417.181233276584</v>
      </c>
      <c r="H345" s="212"/>
    </row>
    <row r="346" spans="1:64" ht="20.100000000000001" customHeight="1">
      <c r="A346" s="15"/>
      <c r="B346" s="15"/>
      <c r="C346" s="15"/>
      <c r="D346" s="14"/>
      <c r="E346" s="14"/>
      <c r="F346" s="14"/>
    </row>
    <row r="347" spans="1:64" ht="17.100000000000001" hidden="1" customHeight="1">
      <c r="A347" s="323" t="s">
        <v>303</v>
      </c>
      <c r="B347" s="324"/>
      <c r="C347" s="325"/>
      <c r="D347" s="231">
        <v>43.54</v>
      </c>
      <c r="E347" s="231" t="s">
        <v>306</v>
      </c>
      <c r="G347" s="4"/>
      <c r="H347" s="5"/>
      <c r="I347" s="198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</row>
    <row r="348" spans="1:64" ht="20.100000000000001" hidden="1" customHeight="1">
      <c r="A348" s="117"/>
      <c r="B348" s="2"/>
      <c r="C348" s="2"/>
      <c r="G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</row>
    <row r="349" spans="1:64" ht="20.85" hidden="1" customHeight="1">
      <c r="A349" s="326" t="s">
        <v>304</v>
      </c>
      <c r="B349" s="327"/>
      <c r="C349" s="327"/>
      <c r="D349" s="328"/>
      <c r="E349" s="231" t="s">
        <v>305</v>
      </c>
      <c r="F349" s="257">
        <f>IFERROR(F343/D347,"-")</f>
        <v>2178.0974383682401</v>
      </c>
      <c r="G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</row>
    <row r="356" spans="6:6" ht="15.75">
      <c r="F356" s="258"/>
    </row>
    <row r="379" spans="4:7" ht="9" customHeight="1">
      <c r="D379" s="3"/>
      <c r="E379" s="3"/>
      <c r="F379" s="3"/>
      <c r="G379" s="3"/>
    </row>
  </sheetData>
  <mergeCells count="9">
    <mergeCell ref="A45:D45"/>
    <mergeCell ref="A347:C347"/>
    <mergeCell ref="A349:D349"/>
    <mergeCell ref="A1:F1"/>
    <mergeCell ref="A2:F2"/>
    <mergeCell ref="A3:F3"/>
    <mergeCell ref="A15:C15"/>
    <mergeCell ref="A37:E37"/>
    <mergeCell ref="A38:D38"/>
  </mergeCells>
  <hyperlinks>
    <hyperlink ref="A176" location="AbaDeprec" display="3.1.1. Depreciação" xr:uid="{CCF3D65C-67D0-4D03-96C7-6566971D95F4}"/>
    <hyperlink ref="A193" location="AbaRemun" display="3.1.2. Remuneração do Capital" xr:uid="{2A1FD3F4-F31E-48FE-BD30-91CDC6CB8622}"/>
  </hyperlinks>
  <pageMargins left="0.90551181102362199" right="0.511811023622047" top="1.1417322834645671" bottom="1.0236220472440953" header="0.74803149606299213" footer="0.31496062992126012"/>
  <pageSetup paperSize="9" scale="77" fitToHeight="0" orientation="portrait" r:id="rId1"/>
  <headerFooter alignWithMargins="0">
    <oddFooter>&amp;R&amp;"Arial3,Regular"&amp;P de &amp;N</oddFooter>
  </headerFooter>
  <rowBreaks count="5" manualBreakCount="5">
    <brk id="51" max="5" man="1"/>
    <brk id="119" max="5" man="1"/>
    <brk id="191" max="5" man="1"/>
    <brk id="319" max="5" man="1"/>
    <brk id="346" max="5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L59"/>
  <sheetViews>
    <sheetView workbookViewId="0">
      <selection activeCell="I35" sqref="I35"/>
    </sheetView>
  </sheetViews>
  <sheetFormatPr defaultRowHeight="12.75"/>
  <cols>
    <col min="1" max="1" width="14" style="85" customWidth="1"/>
    <col min="2" max="2" width="40.7109375" style="85" customWidth="1"/>
    <col min="3" max="3" width="15" style="85" customWidth="1"/>
    <col min="4" max="4" width="38.28515625" style="85" customWidth="1"/>
    <col min="5" max="10" width="9.42578125" style="85" customWidth="1"/>
    <col min="11" max="11" width="11.28515625" style="85" customWidth="1"/>
    <col min="12" max="64" width="9.42578125" style="85" customWidth="1"/>
    <col min="65" max="65" width="8.85546875" customWidth="1"/>
  </cols>
  <sheetData>
    <row r="1" spans="1:64">
      <c r="A1" s="335"/>
      <c r="B1" s="335"/>
      <c r="C1" s="335"/>
    </row>
    <row r="2" spans="1:64">
      <c r="A2" s="335"/>
      <c r="B2" s="335"/>
      <c r="C2" s="335"/>
    </row>
    <row r="3" spans="1:64" ht="15.6" customHeight="1">
      <c r="A3" s="335"/>
      <c r="B3" s="335"/>
      <c r="C3" s="335"/>
      <c r="D3" s="119"/>
      <c r="E3" s="119"/>
      <c r="F3" s="119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ht="15.6" customHeight="1">
      <c r="A4" s="335"/>
      <c r="B4" s="335"/>
      <c r="C4" s="335"/>
      <c r="D4" s="119"/>
      <c r="E4" s="119"/>
      <c r="F4" s="119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  <row r="5" spans="1:64" ht="16.5" customHeight="1">
      <c r="A5" s="335"/>
      <c r="B5" s="335"/>
      <c r="C5" s="335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</row>
    <row r="6" spans="1:64">
      <c r="A6" s="335"/>
      <c r="B6" s="335"/>
      <c r="C6" s="335"/>
    </row>
    <row r="7" spans="1:64" ht="18">
      <c r="A7" s="336" t="s">
        <v>157</v>
      </c>
      <c r="B7" s="336"/>
      <c r="C7" s="336"/>
      <c r="D7" s="120"/>
      <c r="E7" s="120"/>
      <c r="F7" s="120"/>
    </row>
    <row r="8" spans="1:64" ht="14.25">
      <c r="A8" s="121" t="s">
        <v>158</v>
      </c>
      <c r="B8" s="121" t="s">
        <v>159</v>
      </c>
      <c r="C8" s="121" t="s">
        <v>160</v>
      </c>
      <c r="D8" s="122"/>
    </row>
    <row r="9" spans="1:64" ht="14.25">
      <c r="A9" s="121" t="s">
        <v>161</v>
      </c>
      <c r="B9" s="121" t="s">
        <v>162</v>
      </c>
      <c r="C9" s="123">
        <v>0.2</v>
      </c>
      <c r="D9" s="122"/>
    </row>
    <row r="10" spans="1:64" ht="14.25">
      <c r="A10" s="121" t="s">
        <v>163</v>
      </c>
      <c r="B10" s="121" t="s">
        <v>164</v>
      </c>
      <c r="C10" s="123">
        <v>1.4999999999999999E-2</v>
      </c>
      <c r="D10" s="122"/>
    </row>
    <row r="11" spans="1:64" ht="14.25">
      <c r="A11" s="121" t="s">
        <v>165</v>
      </c>
      <c r="B11" s="121" t="s">
        <v>166</v>
      </c>
      <c r="C11" s="123">
        <v>0.01</v>
      </c>
      <c r="D11" s="122"/>
    </row>
    <row r="12" spans="1:64" ht="14.25">
      <c r="A12" s="121" t="s">
        <v>167</v>
      </c>
      <c r="B12" s="121" t="s">
        <v>168</v>
      </c>
      <c r="C12" s="123">
        <v>2E-3</v>
      </c>
      <c r="D12" s="122"/>
    </row>
    <row r="13" spans="1:64" ht="14.25">
      <c r="A13" s="121" t="s">
        <v>169</v>
      </c>
      <c r="B13" s="121" t="s">
        <v>170</v>
      </c>
      <c r="C13" s="123">
        <v>6.0000000000000001E-3</v>
      </c>
      <c r="D13" s="122"/>
    </row>
    <row r="14" spans="1:64" ht="14.25">
      <c r="A14" s="121" t="s">
        <v>171</v>
      </c>
      <c r="B14" s="121" t="s">
        <v>172</v>
      </c>
      <c r="C14" s="123">
        <v>2.5000000000000001E-2</v>
      </c>
      <c r="D14" s="122"/>
    </row>
    <row r="15" spans="1:64" ht="14.25">
      <c r="A15" s="121" t="s">
        <v>173</v>
      </c>
      <c r="B15" s="121" t="s">
        <v>174</v>
      </c>
      <c r="C15" s="123">
        <v>0.03</v>
      </c>
      <c r="D15" s="122"/>
    </row>
    <row r="16" spans="1:64" ht="14.25">
      <c r="A16" s="121" t="s">
        <v>175</v>
      </c>
      <c r="B16" s="121" t="s">
        <v>176</v>
      </c>
      <c r="C16" s="123">
        <v>0.08</v>
      </c>
      <c r="D16" s="122"/>
    </row>
    <row r="17" spans="1:8" ht="15">
      <c r="A17" s="121" t="s">
        <v>177</v>
      </c>
      <c r="B17" s="124" t="s">
        <v>178</v>
      </c>
      <c r="C17" s="125">
        <f>SUM(C9:C16)</f>
        <v>0.36800000000000005</v>
      </c>
      <c r="D17" s="122"/>
    </row>
    <row r="18" spans="1:8" ht="15">
      <c r="A18" s="126"/>
      <c r="B18" s="127"/>
      <c r="C18" s="128"/>
      <c r="D18" s="122"/>
    </row>
    <row r="19" spans="1:8" ht="14.25">
      <c r="A19" s="121" t="s">
        <v>179</v>
      </c>
      <c r="B19" s="121" t="s">
        <v>180</v>
      </c>
      <c r="C19" s="123">
        <f>ROUND(IF('3_CAGED'!C28&gt;24,(1-12/'3_CAGED'!C28)*0.1111,0.1111-C28),4)</f>
        <v>6.1899999999999997E-2</v>
      </c>
      <c r="D19" s="122"/>
    </row>
    <row r="20" spans="1:8" ht="14.25">
      <c r="A20" s="121" t="s">
        <v>181</v>
      </c>
      <c r="B20" s="121" t="s">
        <v>182</v>
      </c>
      <c r="C20" s="123">
        <f>ROUND('3_CAGED'!C32/'3_CAGED'!C29,4)</f>
        <v>8.3299999999999999E-2</v>
      </c>
      <c r="D20" s="122"/>
    </row>
    <row r="21" spans="1:8" ht="14.25">
      <c r="A21" s="121" t="s">
        <v>183</v>
      </c>
      <c r="B21" s="121" t="s">
        <v>184</v>
      </c>
      <c r="C21" s="123">
        <v>5.9999999999999995E-4</v>
      </c>
      <c r="D21" s="122"/>
    </row>
    <row r="22" spans="1:8" ht="14.25">
      <c r="A22" s="121" t="s">
        <v>185</v>
      </c>
      <c r="B22" s="121" t="s">
        <v>186</v>
      </c>
      <c r="C22" s="123">
        <v>8.2000000000000007E-3</v>
      </c>
      <c r="D22" s="122"/>
    </row>
    <row r="23" spans="1:8" ht="14.25">
      <c r="A23" s="121" t="s">
        <v>187</v>
      </c>
      <c r="B23" s="121" t="s">
        <v>188</v>
      </c>
      <c r="C23" s="123">
        <v>3.0999999999999999E-3</v>
      </c>
      <c r="D23" s="122"/>
    </row>
    <row r="24" spans="1:8" ht="14.25">
      <c r="A24" s="121" t="s">
        <v>189</v>
      </c>
      <c r="B24" s="121" t="s">
        <v>190</v>
      </c>
      <c r="C24" s="123">
        <v>1.66E-2</v>
      </c>
      <c r="D24" s="122"/>
    </row>
    <row r="25" spans="1:8" ht="15">
      <c r="A25" s="121" t="s">
        <v>191</v>
      </c>
      <c r="B25" s="124" t="s">
        <v>192</v>
      </c>
      <c r="C25" s="125">
        <f>SUM(C19:C24)</f>
        <v>0.17369999999999999</v>
      </c>
      <c r="D25" s="129"/>
    </row>
    <row r="26" spans="1:8" ht="15">
      <c r="A26" s="126"/>
      <c r="B26" s="127"/>
      <c r="C26" s="128"/>
      <c r="D26" s="129"/>
    </row>
    <row r="27" spans="1:8" ht="14.25">
      <c r="A27" s="121" t="s">
        <v>193</v>
      </c>
      <c r="B27" s="121" t="s">
        <v>194</v>
      </c>
      <c r="C27" s="123">
        <f>ROUND(('3_CAGED'!C33) *'3_CAGED'!C26/'3_CAGED'!C29,4)</f>
        <v>2.5600000000000001E-2</v>
      </c>
      <c r="D27" s="122"/>
      <c r="E27" s="130"/>
    </row>
    <row r="28" spans="1:8" ht="14.25">
      <c r="A28" s="121" t="s">
        <v>195</v>
      </c>
      <c r="B28" s="121" t="s">
        <v>196</v>
      </c>
      <c r="C28" s="123">
        <f>ROUND(IF('3_CAGED'!C28&gt;12,12/'3_CAGED'!C28*0.1111,0.1111),4)</f>
        <v>4.9200000000000001E-2</v>
      </c>
      <c r="D28" s="122"/>
      <c r="H28" s="131"/>
    </row>
    <row r="29" spans="1:8" ht="14.25">
      <c r="A29" s="121" t="s">
        <v>197</v>
      </c>
      <c r="B29" s="121" t="s">
        <v>198</v>
      </c>
      <c r="C29" s="123">
        <f>C27*C28</f>
        <v>1.2595200000000001E-3</v>
      </c>
      <c r="D29" s="122"/>
      <c r="E29" s="130"/>
    </row>
    <row r="30" spans="1:8" ht="14.25">
      <c r="A30" s="121" t="s">
        <v>199</v>
      </c>
      <c r="B30" s="121" t="s">
        <v>200</v>
      </c>
      <c r="C30" s="123">
        <f>ROUND(('3_CAGED'!C29+'3_CAGED'!C30+'3_CAGED'!C32)/'3_CAGED'!C27*'3_CAGED'!C34*'3_CAGED'!C35*'3_CAGED'!C26/'3_CAGED'!C29,4)</f>
        <v>2.0500000000000001E-2</v>
      </c>
      <c r="D30" s="122"/>
      <c r="G30" s="130"/>
    </row>
    <row r="31" spans="1:8" ht="14.25">
      <c r="A31" s="121" t="s">
        <v>201</v>
      </c>
      <c r="B31" s="121" t="s">
        <v>202</v>
      </c>
      <c r="C31" s="123">
        <f>ROUND(('3_CAGED'!C31/'3_CAGED'!C29)*'3_CAGED'!C26/12,4)</f>
        <v>1.8E-3</v>
      </c>
      <c r="D31" s="122"/>
    </row>
    <row r="32" spans="1:8" ht="15">
      <c r="A32" s="121" t="s">
        <v>203</v>
      </c>
      <c r="B32" s="124" t="s">
        <v>204</v>
      </c>
      <c r="C32" s="125">
        <f>SUM(C27:C31)</f>
        <v>9.8359520000000006E-2</v>
      </c>
      <c r="D32" s="129"/>
    </row>
    <row r="33" spans="1:4" ht="15">
      <c r="A33" s="126"/>
      <c r="B33" s="127"/>
      <c r="C33" s="128"/>
      <c r="D33" s="129"/>
    </row>
    <row r="34" spans="1:4" ht="14.25">
      <c r="A34" s="121" t="s">
        <v>205</v>
      </c>
      <c r="B34" s="121" t="s">
        <v>206</v>
      </c>
      <c r="C34" s="123">
        <f>ROUND(C17*C25,4)</f>
        <v>6.3899999999999998E-2</v>
      </c>
      <c r="D34" s="122"/>
    </row>
    <row r="35" spans="1:4" ht="28.5">
      <c r="A35" s="121" t="s">
        <v>207</v>
      </c>
      <c r="B35" s="132" t="s">
        <v>208</v>
      </c>
      <c r="C35" s="123">
        <f>ROUND((C27*C16),4)</f>
        <v>2E-3</v>
      </c>
      <c r="D35" s="122"/>
    </row>
    <row r="36" spans="1:4" ht="15">
      <c r="A36" s="121" t="s">
        <v>209</v>
      </c>
      <c r="B36" s="124" t="s">
        <v>210</v>
      </c>
      <c r="C36" s="125">
        <f>SUM(C34:C35)</f>
        <v>6.59E-2</v>
      </c>
      <c r="D36" s="129"/>
    </row>
    <row r="37" spans="1:4" ht="15">
      <c r="A37" s="133"/>
      <c r="B37" s="134" t="s">
        <v>211</v>
      </c>
      <c r="C37" s="135">
        <f>C36+C32+C25+C17</f>
        <v>0.70595951999999995</v>
      </c>
      <c r="D37" s="129"/>
    </row>
    <row r="38" spans="1:4" ht="15">
      <c r="A38" s="122"/>
      <c r="B38" s="136"/>
      <c r="C38" s="137"/>
      <c r="D38" s="138"/>
    </row>
    <row r="39" spans="1:4" ht="14.25">
      <c r="A39" s="122"/>
      <c r="B39" s="122"/>
      <c r="C39" s="139"/>
      <c r="D39" s="140"/>
    </row>
    <row r="40" spans="1:4" ht="14.25">
      <c r="A40" s="122"/>
      <c r="B40" s="122"/>
      <c r="C40" s="139"/>
      <c r="D40" s="122"/>
    </row>
    <row r="41" spans="1:4" ht="14.25">
      <c r="A41" s="122"/>
      <c r="B41" s="122"/>
      <c r="C41" s="139"/>
      <c r="D41" s="122"/>
    </row>
    <row r="42" spans="1:4" ht="14.25">
      <c r="A42" s="122"/>
      <c r="B42" s="122"/>
      <c r="C42" s="139"/>
      <c r="D42" s="122"/>
    </row>
    <row r="43" spans="1:4" ht="15">
      <c r="A43" s="122"/>
      <c r="B43" s="136"/>
      <c r="C43" s="137"/>
      <c r="D43" s="122"/>
    </row>
    <row r="44" spans="1:4" ht="15">
      <c r="A44" s="129"/>
      <c r="B44" s="136"/>
      <c r="C44" s="137"/>
      <c r="D44" s="129"/>
    </row>
    <row r="45" spans="1:4" ht="16.5">
      <c r="A45" s="141"/>
    </row>
    <row r="46" spans="1:4">
      <c r="A46" s="142"/>
    </row>
    <row r="47" spans="1:4" ht="14.25">
      <c r="A47" s="122"/>
      <c r="B47" s="143"/>
    </row>
    <row r="48" spans="1:4" ht="14.25">
      <c r="A48" s="122"/>
      <c r="B48" s="143"/>
      <c r="C48" s="122"/>
    </row>
    <row r="49" spans="1:3" ht="14.25">
      <c r="A49" s="122"/>
      <c r="B49" s="139"/>
    </row>
    <row r="50" spans="1:3" ht="14.25">
      <c r="A50" s="122"/>
      <c r="B50" s="143"/>
      <c r="C50" s="122"/>
    </row>
    <row r="51" spans="1:3" ht="14.25">
      <c r="A51" s="122"/>
      <c r="B51" s="139"/>
    </row>
    <row r="52" spans="1:3" ht="14.25">
      <c r="A52" s="122"/>
      <c r="B52" s="143"/>
      <c r="C52" s="122"/>
    </row>
    <row r="53" spans="1:3" ht="14.25">
      <c r="A53" s="122"/>
      <c r="B53" s="139"/>
    </row>
    <row r="54" spans="1:3" ht="14.25">
      <c r="A54" s="122"/>
      <c r="B54" s="143"/>
      <c r="C54" s="122"/>
    </row>
    <row r="55" spans="1:3" ht="14.25">
      <c r="A55" s="122"/>
      <c r="B55" s="139"/>
    </row>
    <row r="56" spans="1:3" ht="16.5">
      <c r="A56" s="141"/>
    </row>
    <row r="59" spans="1:3">
      <c r="A59" s="89"/>
    </row>
  </sheetData>
  <mergeCells count="2">
    <mergeCell ref="A1:C6"/>
    <mergeCell ref="A7:C7"/>
  </mergeCells>
  <pageMargins left="0.90551181102362199" right="0.511811023622047" top="1.1417322834645671" bottom="1.1417322834645671" header="0.74803149606299213" footer="0.74803149606299213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35"/>
  <sheetViews>
    <sheetView view="pageBreakPreview" zoomScaleNormal="100" zoomScaleSheetLayoutView="100" workbookViewId="0">
      <selection sqref="A1:F20"/>
    </sheetView>
  </sheetViews>
  <sheetFormatPr defaultRowHeight="12.75"/>
  <cols>
    <col min="1" max="1" width="8.7109375" style="85" customWidth="1"/>
    <col min="2" max="2" width="69" style="85" customWidth="1"/>
    <col min="3" max="3" width="14" style="85" customWidth="1"/>
    <col min="4" max="4" width="10.5703125" style="85" customWidth="1"/>
    <col min="5" max="5" width="14" style="85" customWidth="1"/>
    <col min="6" max="64" width="9.42578125" style="85" customWidth="1"/>
    <col min="65" max="65" width="8.85546875" customWidth="1"/>
  </cols>
  <sheetData>
    <row r="1" spans="1:3">
      <c r="A1" s="335"/>
      <c r="B1" s="335"/>
      <c r="C1" s="335"/>
    </row>
    <row r="2" spans="1:3">
      <c r="A2" s="335"/>
      <c r="B2" s="335"/>
      <c r="C2" s="335"/>
    </row>
    <row r="3" spans="1:3">
      <c r="A3" s="335"/>
      <c r="B3" s="335"/>
      <c r="C3" s="335"/>
    </row>
    <row r="4" spans="1:3">
      <c r="A4" s="335"/>
      <c r="B4" s="335"/>
      <c r="C4" s="335"/>
    </row>
    <row r="5" spans="1:3">
      <c r="A5" s="335"/>
      <c r="B5" s="335"/>
      <c r="C5" s="335"/>
    </row>
    <row r="6" spans="1:3">
      <c r="A6" s="335"/>
      <c r="B6" s="335"/>
      <c r="C6" s="335"/>
    </row>
    <row r="7" spans="1:3" ht="18">
      <c r="B7" s="337" t="s">
        <v>212</v>
      </c>
      <c r="C7" s="337"/>
    </row>
    <row r="8" spans="1:3" ht="15">
      <c r="B8" s="144" t="s">
        <v>213</v>
      </c>
      <c r="C8" s="145"/>
    </row>
    <row r="9" spans="1:3" ht="15">
      <c r="B9" s="146" t="s">
        <v>214</v>
      </c>
      <c r="C9" s="147">
        <v>2100</v>
      </c>
    </row>
    <row r="10" spans="1:3" ht="15">
      <c r="B10" s="148" t="s">
        <v>215</v>
      </c>
      <c r="C10" s="147">
        <v>2031</v>
      </c>
    </row>
    <row r="11" spans="1:3" ht="14.25">
      <c r="B11" s="149" t="s">
        <v>216</v>
      </c>
      <c r="C11" s="150">
        <v>44</v>
      </c>
    </row>
    <row r="12" spans="1:3" ht="14.25">
      <c r="B12" s="149" t="s">
        <v>217</v>
      </c>
      <c r="C12" s="150">
        <v>1192</v>
      </c>
    </row>
    <row r="13" spans="1:3" ht="14.25">
      <c r="B13" s="149" t="s">
        <v>218</v>
      </c>
      <c r="C13" s="150">
        <v>372</v>
      </c>
    </row>
    <row r="14" spans="1:3" ht="14.25">
      <c r="B14" s="149" t="s">
        <v>219</v>
      </c>
      <c r="C14" s="150">
        <v>22</v>
      </c>
    </row>
    <row r="15" spans="1:3" ht="14.25">
      <c r="B15" s="149" t="s">
        <v>220</v>
      </c>
      <c r="C15" s="150">
        <v>350</v>
      </c>
    </row>
    <row r="16" spans="1:3" ht="14.25">
      <c r="B16" s="149" t="s">
        <v>221</v>
      </c>
      <c r="C16" s="150">
        <v>1</v>
      </c>
    </row>
    <row r="17" spans="1:64" ht="14.25">
      <c r="B17" s="149" t="s">
        <v>222</v>
      </c>
      <c r="C17" s="150">
        <v>30</v>
      </c>
    </row>
    <row r="18" spans="1:64" ht="14.25">
      <c r="B18" s="151" t="s">
        <v>223</v>
      </c>
      <c r="C18" s="152">
        <v>0</v>
      </c>
    </row>
    <row r="19" spans="1:64" ht="14.25">
      <c r="B19" s="153" t="s">
        <v>224</v>
      </c>
      <c r="C19" s="152">
        <v>0</v>
      </c>
    </row>
    <row r="20" spans="1:64" ht="15">
      <c r="A20" s="85" t="s">
        <v>225</v>
      </c>
      <c r="B20" s="144" t="s">
        <v>226</v>
      </c>
      <c r="C20" s="145"/>
    </row>
    <row r="21" spans="1:64" ht="14.25">
      <c r="B21" s="154" t="s">
        <v>227</v>
      </c>
      <c r="C21" s="155">
        <v>4625</v>
      </c>
    </row>
    <row r="22" spans="1:64" ht="14.25">
      <c r="B22" s="149" t="s">
        <v>228</v>
      </c>
      <c r="C22" s="150">
        <v>4694</v>
      </c>
    </row>
    <row r="23" spans="1:64" ht="14.25">
      <c r="B23" s="149" t="s">
        <v>229</v>
      </c>
      <c r="C23" s="149">
        <f>C9-C10</f>
        <v>69</v>
      </c>
    </row>
    <row r="24" spans="1:64" ht="14.25">
      <c r="B24" s="156"/>
      <c r="C24" s="157"/>
    </row>
    <row r="25" spans="1:64" ht="15">
      <c r="A25" s="158"/>
      <c r="B25" s="146" t="s">
        <v>230</v>
      </c>
      <c r="C25" s="146">
        <f>MEDIAN(C21,C22)</f>
        <v>4659.5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</row>
    <row r="26" spans="1:64" ht="15">
      <c r="B26" s="148" t="s">
        <v>231</v>
      </c>
      <c r="C26" s="159">
        <f>C12/C25</f>
        <v>0.25582144006867691</v>
      </c>
    </row>
    <row r="27" spans="1:64" ht="15">
      <c r="B27" s="148" t="s">
        <v>232</v>
      </c>
      <c r="C27" s="159">
        <f>MEDIAN(C9,C10)/C25</f>
        <v>0.44328790642772831</v>
      </c>
    </row>
    <row r="28" spans="1:64" ht="15">
      <c r="A28" s="158"/>
      <c r="B28" s="148" t="s">
        <v>233</v>
      </c>
      <c r="C28" s="160">
        <f>12/C27</f>
        <v>27.070442992011618</v>
      </c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</row>
    <row r="29" spans="1:64" ht="15">
      <c r="B29" s="148" t="s">
        <v>234</v>
      </c>
      <c r="C29" s="148">
        <v>360</v>
      </c>
    </row>
    <row r="30" spans="1:64" ht="15">
      <c r="B30" s="148" t="s">
        <v>235</v>
      </c>
      <c r="C30" s="148">
        <v>10</v>
      </c>
    </row>
    <row r="31" spans="1:64" ht="15">
      <c r="B31" s="146" t="s">
        <v>236</v>
      </c>
      <c r="C31" s="146">
        <v>30</v>
      </c>
    </row>
    <row r="32" spans="1:64" ht="15">
      <c r="B32" s="146" t="s">
        <v>237</v>
      </c>
      <c r="C32" s="146">
        <v>30</v>
      </c>
    </row>
    <row r="33" spans="1:64" ht="15">
      <c r="A33" s="158"/>
      <c r="B33" s="146" t="s">
        <v>238</v>
      </c>
      <c r="C33" s="146">
        <f>30+(3*TRUNC(1/C27))</f>
        <v>36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</row>
    <row r="34" spans="1:64" ht="15">
      <c r="A34" s="158"/>
      <c r="B34" s="148" t="s">
        <v>176</v>
      </c>
      <c r="C34" s="161">
        <v>0.08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</row>
    <row r="35" spans="1:64" ht="15">
      <c r="A35" s="158"/>
      <c r="B35" s="162" t="s">
        <v>239</v>
      </c>
      <c r="C35" s="163">
        <v>0.4</v>
      </c>
      <c r="D35" s="158" t="s">
        <v>240</v>
      </c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</row>
  </sheetData>
  <mergeCells count="2">
    <mergeCell ref="A1:C6"/>
    <mergeCell ref="B7:C7"/>
  </mergeCells>
  <pageMargins left="0.90551181102362199" right="0.511811023622047" top="1.1417322834645671" bottom="1.1417322834645671" header="0.74803149606299213" footer="0.74803149606299213"/>
  <pageSetup paperSize="9" scale="95" fitToWidth="0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L24"/>
  <sheetViews>
    <sheetView workbookViewId="0">
      <selection sqref="A1:F20"/>
    </sheetView>
  </sheetViews>
  <sheetFormatPr defaultRowHeight="12.75"/>
  <cols>
    <col min="1" max="1" width="43" customWidth="1"/>
    <col min="2" max="2" width="5.7109375" customWidth="1"/>
    <col min="3" max="3" width="8.85546875" customWidth="1"/>
    <col min="4" max="4" width="10" customWidth="1"/>
    <col min="5" max="5" width="7.7109375" style="189" customWidth="1"/>
    <col min="6" max="6" width="10" customWidth="1"/>
    <col min="7" max="7" width="8.85546875" customWidth="1"/>
  </cols>
  <sheetData>
    <row r="1" spans="1:64" ht="14.25">
      <c r="A1" s="335"/>
      <c r="B1" s="335"/>
      <c r="C1" s="335"/>
      <c r="D1" s="335"/>
      <c r="E1" s="335"/>
      <c r="F1" s="335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</row>
    <row r="2" spans="1:64" ht="14.25">
      <c r="A2" s="335"/>
      <c r="B2" s="335"/>
      <c r="C2" s="335"/>
      <c r="D2" s="335"/>
      <c r="E2" s="335"/>
      <c r="F2" s="335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</row>
    <row r="3" spans="1:64" ht="14.25">
      <c r="A3" s="335"/>
      <c r="B3" s="335"/>
      <c r="C3" s="335"/>
      <c r="D3" s="335"/>
      <c r="E3" s="335"/>
      <c r="F3" s="335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</row>
    <row r="4" spans="1:64" ht="14.25">
      <c r="A4" s="335"/>
      <c r="B4" s="335"/>
      <c r="C4" s="335"/>
      <c r="D4" s="335"/>
      <c r="E4" s="335"/>
      <c r="F4" s="335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</row>
    <row r="5" spans="1:64" ht="15.6" customHeight="1">
      <c r="A5" s="335"/>
      <c r="B5" s="335"/>
      <c r="C5" s="335"/>
      <c r="D5" s="335"/>
      <c r="E5" s="335"/>
      <c r="F5" s="335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</row>
    <row r="6" spans="1:64" ht="16.5" customHeight="1">
      <c r="A6" s="335"/>
      <c r="B6" s="335"/>
      <c r="C6" s="335"/>
      <c r="D6" s="335"/>
      <c r="E6" s="335"/>
      <c r="F6" s="335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14.25">
      <c r="A7" s="335"/>
      <c r="B7" s="335"/>
      <c r="C7" s="335"/>
      <c r="D7" s="335"/>
      <c r="E7" s="335"/>
      <c r="F7" s="335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</row>
    <row r="8" spans="1:64" ht="15.75">
      <c r="A8" s="338" t="s">
        <v>241</v>
      </c>
      <c r="B8" s="338"/>
      <c r="C8" s="338"/>
      <c r="D8" s="338"/>
      <c r="E8" s="338"/>
      <c r="F8" s="338"/>
    </row>
    <row r="9" spans="1:64" ht="15.75">
      <c r="A9" s="165"/>
      <c r="B9" s="1"/>
      <c r="C9" s="1"/>
      <c r="D9" s="1"/>
      <c r="E9" s="1"/>
      <c r="F9" s="166"/>
    </row>
    <row r="10" spans="1:64" ht="15">
      <c r="A10" s="167"/>
      <c r="B10" s="118"/>
      <c r="C10" s="118"/>
      <c r="D10" s="339" t="s">
        <v>242</v>
      </c>
      <c r="E10" s="339"/>
      <c r="F10" s="339"/>
      <c r="G10" s="164"/>
      <c r="H10" s="164"/>
    </row>
    <row r="11" spans="1:64" ht="14.25">
      <c r="A11" s="156"/>
      <c r="B11" s="164"/>
      <c r="C11" s="164"/>
      <c r="D11" s="168" t="s">
        <v>243</v>
      </c>
      <c r="E11" s="169" t="s">
        <v>244</v>
      </c>
      <c r="F11" s="168" t="s">
        <v>245</v>
      </c>
      <c r="G11" s="164"/>
      <c r="H11" s="164"/>
    </row>
    <row r="12" spans="1:64" ht="14.25">
      <c r="A12" s="121" t="s">
        <v>246</v>
      </c>
      <c r="B12" s="170" t="s">
        <v>247</v>
      </c>
      <c r="C12" s="171">
        <v>5.0799999999999998E-2</v>
      </c>
      <c r="D12" s="172">
        <v>2.9700000000000001E-2</v>
      </c>
      <c r="E12" s="172">
        <v>5.0799999999999998E-2</v>
      </c>
      <c r="F12" s="172">
        <v>6.2700000000000006E-2</v>
      </c>
      <c r="G12" s="164"/>
      <c r="H12" s="164"/>
    </row>
    <row r="13" spans="1:64" ht="14.25">
      <c r="A13" s="121" t="s">
        <v>248</v>
      </c>
      <c r="B13" s="170" t="s">
        <v>249</v>
      </c>
      <c r="C13" s="171">
        <v>1.2999999999999999E-2</v>
      </c>
      <c r="D13" s="172">
        <f>0.3%+0.56%</f>
        <v>8.6E-3</v>
      </c>
      <c r="E13" s="172">
        <f>0.48%+0.85%</f>
        <v>1.3299999999999999E-2</v>
      </c>
      <c r="F13" s="172">
        <f>0.82%+0.89%</f>
        <v>1.7099999999999997E-2</v>
      </c>
      <c r="G13" s="164"/>
      <c r="H13" s="164"/>
    </row>
    <row r="14" spans="1:64" ht="14.25">
      <c r="A14" s="121" t="s">
        <v>250</v>
      </c>
      <c r="B14" s="170" t="s">
        <v>251</v>
      </c>
      <c r="C14" s="171">
        <f>E14</f>
        <v>0.1085</v>
      </c>
      <c r="D14" s="172">
        <v>7.7799999999999994E-2</v>
      </c>
      <c r="E14" s="172">
        <v>0.1085</v>
      </c>
      <c r="F14" s="172">
        <v>0.13550000000000001</v>
      </c>
      <c r="G14" s="164"/>
      <c r="H14" s="164"/>
    </row>
    <row r="15" spans="1:64" ht="14.25">
      <c r="A15" s="121" t="s">
        <v>252</v>
      </c>
      <c r="B15" s="170" t="s">
        <v>253</v>
      </c>
      <c r="C15" s="173">
        <f>(1+E15)^(E16/252)-1</f>
        <v>1.3839695393187856E-2</v>
      </c>
      <c r="D15" s="172" t="s">
        <v>254</v>
      </c>
      <c r="E15" s="174">
        <v>0.14249999999999999</v>
      </c>
      <c r="F15" s="175"/>
      <c r="G15" s="164"/>
      <c r="H15" s="164"/>
    </row>
    <row r="16" spans="1:64" ht="14.25">
      <c r="A16" s="121" t="s">
        <v>255</v>
      </c>
      <c r="B16" s="340" t="s">
        <v>256</v>
      </c>
      <c r="C16" s="171">
        <v>0.03</v>
      </c>
      <c r="D16" s="176" t="s">
        <v>257</v>
      </c>
      <c r="E16" s="177">
        <v>26</v>
      </c>
      <c r="F16" s="149"/>
      <c r="G16" s="164"/>
      <c r="H16" s="164"/>
    </row>
    <row r="17" spans="1:8" ht="14.25">
      <c r="A17" s="121" t="s">
        <v>258</v>
      </c>
      <c r="B17" s="340"/>
      <c r="C17" s="171">
        <v>3.6499999999999998E-2</v>
      </c>
      <c r="D17" s="149"/>
      <c r="E17" s="178"/>
      <c r="F17" s="149"/>
      <c r="G17" s="164"/>
      <c r="H17" s="164"/>
    </row>
    <row r="18" spans="1:8" ht="14.25">
      <c r="A18" s="179" t="s">
        <v>259</v>
      </c>
      <c r="B18" s="180"/>
      <c r="C18" s="181"/>
      <c r="D18" s="149"/>
      <c r="E18" s="178"/>
      <c r="F18" s="149"/>
      <c r="G18" s="164"/>
      <c r="H18" s="164"/>
    </row>
    <row r="19" spans="1:8" ht="14.25">
      <c r="A19" s="182" t="s">
        <v>260</v>
      </c>
      <c r="B19" s="183"/>
      <c r="C19" s="184"/>
      <c r="D19" s="149"/>
      <c r="E19" s="178"/>
      <c r="F19" s="149"/>
      <c r="G19" s="164"/>
      <c r="H19" s="164"/>
    </row>
    <row r="20" spans="1:8" ht="15">
      <c r="A20" s="185" t="s">
        <v>261</v>
      </c>
      <c r="B20" s="186"/>
      <c r="C20" s="187">
        <f>ROUND((((1+C12+C13)*(1+C14)*(1+C15))/(1-(C16+C17))-1),4)</f>
        <v>0.28070000000000001</v>
      </c>
      <c r="D20" s="172">
        <v>0.21429999999999999</v>
      </c>
      <c r="E20" s="172">
        <v>0.2717</v>
      </c>
      <c r="F20" s="172">
        <v>0.3362</v>
      </c>
      <c r="G20" s="164"/>
      <c r="H20" s="164"/>
    </row>
    <row r="21" spans="1:8" ht="14.25">
      <c r="A21" s="164"/>
      <c r="B21" s="164"/>
      <c r="C21" s="164"/>
      <c r="D21" s="164"/>
      <c r="E21" s="188"/>
      <c r="F21" s="164"/>
      <c r="G21" s="164"/>
      <c r="H21" s="164"/>
    </row>
    <row r="22" spans="1:8" ht="14.25">
      <c r="A22" s="164"/>
      <c r="B22" s="164"/>
      <c r="C22" s="164"/>
      <c r="D22" s="164"/>
      <c r="E22" s="188"/>
      <c r="F22" s="164"/>
      <c r="G22" s="164"/>
      <c r="H22" s="164"/>
    </row>
    <row r="23" spans="1:8" ht="14.25">
      <c r="A23" s="164"/>
      <c r="B23" s="164"/>
      <c r="C23" s="164"/>
      <c r="D23" s="164"/>
      <c r="E23" s="188"/>
      <c r="F23" s="164"/>
      <c r="G23" s="164"/>
      <c r="H23" s="164"/>
    </row>
    <row r="24" spans="1:8" ht="14.25">
      <c r="A24" s="164"/>
      <c r="B24" s="164"/>
      <c r="C24" s="164"/>
      <c r="D24" s="164"/>
      <c r="E24" s="188"/>
      <c r="F24" s="164"/>
      <c r="G24" s="164"/>
      <c r="H24" s="164"/>
    </row>
  </sheetData>
  <mergeCells count="4">
    <mergeCell ref="A1:F7"/>
    <mergeCell ref="A8:F8"/>
    <mergeCell ref="D10:F10"/>
    <mergeCell ref="B16:B17"/>
  </mergeCells>
  <pageMargins left="0.90551181102362199" right="0.511811023622047" top="1.1417322834645671" bottom="1.1417322834645671" header="0.74803149606299213" footer="0.74803149606299213"/>
  <pageSetup paperSize="9" fitToWidth="0" fitToHeight="0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17"/>
  <sheetViews>
    <sheetView workbookViewId="0">
      <selection sqref="A1:F20"/>
    </sheetView>
  </sheetViews>
  <sheetFormatPr defaultRowHeight="12.75"/>
  <cols>
    <col min="1" max="1" width="25.28515625" style="85" customWidth="1"/>
    <col min="2" max="2" width="21.5703125" style="85" customWidth="1"/>
    <col min="3" max="64" width="9.42578125" style="85" customWidth="1"/>
    <col min="65" max="65" width="8.85546875" customWidth="1"/>
  </cols>
  <sheetData>
    <row r="1" spans="1:64" ht="19.5" customHeight="1">
      <c r="A1" s="341" t="s">
        <v>262</v>
      </c>
      <c r="B1" s="341"/>
    </row>
    <row r="2" spans="1:64" ht="19.5" customHeight="1">
      <c r="A2" s="190" t="s">
        <v>263</v>
      </c>
      <c r="B2" s="191" t="s">
        <v>264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</row>
    <row r="3" spans="1:64" ht="19.5" customHeight="1">
      <c r="A3" s="170">
        <v>1</v>
      </c>
      <c r="B3" s="192">
        <v>33.630000000000003</v>
      </c>
    </row>
    <row r="4" spans="1:64" ht="19.5" customHeight="1">
      <c r="A4" s="170">
        <v>2</v>
      </c>
      <c r="B4" s="192">
        <v>43.13</v>
      </c>
    </row>
    <row r="5" spans="1:64" ht="19.5" customHeight="1">
      <c r="A5" s="170">
        <v>3</v>
      </c>
      <c r="B5" s="192">
        <v>48.68</v>
      </c>
    </row>
    <row r="6" spans="1:64" ht="19.5" customHeight="1">
      <c r="A6" s="170">
        <v>4</v>
      </c>
      <c r="B6" s="192">
        <v>52.62</v>
      </c>
    </row>
    <row r="7" spans="1:64" ht="19.5" customHeight="1">
      <c r="A7" s="296">
        <v>5</v>
      </c>
      <c r="B7" s="192">
        <v>55.68</v>
      </c>
    </row>
    <row r="8" spans="1:64" ht="19.5" customHeight="1">
      <c r="A8" s="170">
        <v>6</v>
      </c>
      <c r="B8" s="192">
        <v>58.18</v>
      </c>
    </row>
    <row r="9" spans="1:64" ht="19.5" customHeight="1">
      <c r="A9" s="170">
        <v>7</v>
      </c>
      <c r="B9" s="192">
        <v>60.29</v>
      </c>
    </row>
    <row r="10" spans="1:64" ht="19.5" customHeight="1">
      <c r="A10" s="170">
        <v>8</v>
      </c>
      <c r="B10" s="192">
        <v>62.12</v>
      </c>
    </row>
    <row r="11" spans="1:64" ht="19.5" customHeight="1">
      <c r="A11" s="170">
        <v>9</v>
      </c>
      <c r="B11" s="192">
        <v>63.73</v>
      </c>
    </row>
    <row r="12" spans="1:64" ht="19.5" customHeight="1">
      <c r="A12" s="296">
        <v>10</v>
      </c>
      <c r="B12" s="192">
        <v>65.180000000000007</v>
      </c>
    </row>
    <row r="13" spans="1:64" ht="19.5" customHeight="1">
      <c r="A13" s="170">
        <v>11</v>
      </c>
      <c r="B13" s="192">
        <v>66.48</v>
      </c>
    </row>
    <row r="14" spans="1:64" ht="19.5" customHeight="1">
      <c r="A14" s="170">
        <v>12</v>
      </c>
      <c r="B14" s="192">
        <v>67.67</v>
      </c>
    </row>
    <row r="15" spans="1:64" ht="19.5" customHeight="1">
      <c r="A15" s="170">
        <v>13</v>
      </c>
      <c r="B15" s="192">
        <v>68.77</v>
      </c>
    </row>
    <row r="16" spans="1:64" ht="19.5" customHeight="1">
      <c r="A16" s="170">
        <v>14</v>
      </c>
      <c r="B16" s="192">
        <v>69.790000000000006</v>
      </c>
    </row>
    <row r="17" spans="1:2" ht="19.5" customHeight="1">
      <c r="A17" s="170">
        <v>15</v>
      </c>
      <c r="B17" s="192">
        <v>70.73</v>
      </c>
    </row>
  </sheetData>
  <mergeCells count="1">
    <mergeCell ref="A1:B1"/>
  </mergeCells>
  <pageMargins left="0.9055118110236221" right="0.51181102362204722" top="1.1417322834645669" bottom="1.1417322834645669" header="0.74803149606299213" footer="0.74803149606299213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L17"/>
  <sheetViews>
    <sheetView workbookViewId="0">
      <selection sqref="A1:F20"/>
    </sheetView>
  </sheetViews>
  <sheetFormatPr defaultRowHeight="12.75"/>
  <cols>
    <col min="1" max="1" width="72.42578125" style="85" customWidth="1"/>
    <col min="2" max="3" width="9.42578125" style="85" customWidth="1"/>
    <col min="4" max="4" width="13.28515625" style="85" customWidth="1"/>
    <col min="5" max="64" width="9.42578125" style="85" customWidth="1"/>
    <col min="65" max="65" width="8.85546875" customWidth="1"/>
  </cols>
  <sheetData>
    <row r="1" spans="1:1" ht="18">
      <c r="A1" s="193" t="s">
        <v>265</v>
      </c>
    </row>
    <row r="2" spans="1:1">
      <c r="A2" s="194"/>
    </row>
    <row r="3" spans="1:1">
      <c r="A3" s="194" t="s">
        <v>266</v>
      </c>
    </row>
    <row r="4" spans="1:1">
      <c r="A4" s="194"/>
    </row>
    <row r="5" spans="1:1">
      <c r="A5" s="194"/>
    </row>
    <row r="6" spans="1:1">
      <c r="A6" s="194"/>
    </row>
    <row r="7" spans="1:1">
      <c r="A7" s="194"/>
    </row>
    <row r="8" spans="1:1">
      <c r="A8" s="194"/>
    </row>
    <row r="9" spans="1:1">
      <c r="A9" s="194"/>
    </row>
    <row r="10" spans="1:1">
      <c r="A10" s="194"/>
    </row>
    <row r="11" spans="1:1">
      <c r="A11" s="194"/>
    </row>
    <row r="12" spans="1:1" ht="19.5">
      <c r="A12" s="195" t="s">
        <v>267</v>
      </c>
    </row>
    <row r="13" spans="1:1" ht="15">
      <c r="A13" s="195" t="s">
        <v>268</v>
      </c>
    </row>
    <row r="14" spans="1:1" ht="15">
      <c r="A14" s="195" t="s">
        <v>269</v>
      </c>
    </row>
    <row r="15" spans="1:1" ht="19.5">
      <c r="A15" s="195" t="s">
        <v>270</v>
      </c>
    </row>
    <row r="16" spans="1:1" ht="19.5">
      <c r="A16" s="195" t="s">
        <v>271</v>
      </c>
    </row>
    <row r="17" spans="1:1" ht="15">
      <c r="A17" s="196" t="s">
        <v>272</v>
      </c>
    </row>
  </sheetData>
  <pageMargins left="0.90551181102362199" right="0.511811023622047" top="1.1417322834645671" bottom="1.1417322834645671" header="0.74803149606299213" footer="0.74803149606299213"/>
  <pageSetup paperSize="9" fitToWidth="0" fitToHeight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CE76-4834-487F-8E41-229263E7D3EB}">
  <dimension ref="B1:F71"/>
  <sheetViews>
    <sheetView workbookViewId="0">
      <selection activeCell="H32" sqref="H32"/>
    </sheetView>
  </sheetViews>
  <sheetFormatPr defaultRowHeight="12.75"/>
  <cols>
    <col min="2" max="2" width="18.42578125" bestFit="1" customWidth="1"/>
    <col min="3" max="5" width="16" bestFit="1" customWidth="1"/>
    <col min="6" max="6" width="14.28515625" bestFit="1" customWidth="1"/>
    <col min="7" max="7" width="2.85546875" customWidth="1"/>
  </cols>
  <sheetData>
    <row r="1" spans="2:6" ht="13.5" thickBot="1"/>
    <row r="2" spans="2:6" ht="13.5" thickBot="1">
      <c r="B2" s="202" t="s">
        <v>274</v>
      </c>
      <c r="C2" s="214">
        <f>'1_1_Coleta_BX_TEMP'!E35</f>
        <v>403976.59174361057</v>
      </c>
    </row>
    <row r="3" spans="2:6" ht="13.5" thickBot="1">
      <c r="C3" s="213"/>
    </row>
    <row r="4" spans="2:6" ht="13.5" thickBot="1">
      <c r="B4" s="202" t="s">
        <v>275</v>
      </c>
      <c r="C4" s="214" t="e">
        <f>#REF!</f>
        <v>#REF!</v>
      </c>
    </row>
    <row r="5" spans="2:6" ht="13.5" thickBot="1">
      <c r="C5" s="213"/>
    </row>
    <row r="6" spans="2:6" ht="13.5" thickBot="1">
      <c r="B6" s="202" t="s">
        <v>276</v>
      </c>
      <c r="C6" s="214" t="e">
        <f>#REF!</f>
        <v>#REF!</v>
      </c>
    </row>
    <row r="7" spans="2:6" ht="13.5" thickBot="1">
      <c r="C7" s="199"/>
    </row>
    <row r="8" spans="2:6" ht="13.5" thickBot="1">
      <c r="C8" s="209" t="s">
        <v>277</v>
      </c>
      <c r="D8" s="210" t="s">
        <v>276</v>
      </c>
    </row>
    <row r="9" spans="2:6" ht="13.5" thickBot="1">
      <c r="B9" s="203">
        <v>45931</v>
      </c>
      <c r="C9" s="205">
        <f>C2</f>
        <v>403976.59174361057</v>
      </c>
      <c r="D9" s="205" t="e">
        <f>C6</f>
        <v>#REF!</v>
      </c>
      <c r="E9" s="205" t="e">
        <f>C9+D9</f>
        <v>#REF!</v>
      </c>
    </row>
    <row r="10" spans="2:6" ht="13.5" thickBot="1">
      <c r="B10" s="206"/>
      <c r="D10" s="207"/>
    </row>
    <row r="11" spans="2:6" ht="13.5" thickBot="1">
      <c r="B11" s="203">
        <v>45962</v>
      </c>
      <c r="C11" s="205">
        <f>C2</f>
        <v>403976.59174361057</v>
      </c>
      <c r="D11" s="205" t="e">
        <f>C6</f>
        <v>#REF!</v>
      </c>
      <c r="E11" s="205" t="e">
        <f>C11+D11</f>
        <v>#REF!</v>
      </c>
    </row>
    <row r="12" spans="2:6" ht="13.5" thickBot="1">
      <c r="B12" s="206"/>
      <c r="D12" s="207"/>
    </row>
    <row r="13" spans="2:6" ht="13.5" thickBot="1">
      <c r="B13" s="203" t="s">
        <v>278</v>
      </c>
      <c r="C13" s="205">
        <f>C2/2</f>
        <v>201988.29587180528</v>
      </c>
      <c r="D13" s="205" t="e">
        <f>C6</f>
        <v>#REF!</v>
      </c>
      <c r="E13" s="205" t="e">
        <f>C13+D13</f>
        <v>#REF!</v>
      </c>
    </row>
    <row r="14" spans="2:6" ht="13.5" thickBot="1">
      <c r="B14" s="206"/>
      <c r="D14" s="207"/>
    </row>
    <row r="15" spans="2:6" ht="13.5" thickBot="1">
      <c r="B15" s="203" t="s">
        <v>279</v>
      </c>
      <c r="C15" s="205" t="e">
        <f>C4/2</f>
        <v>#REF!</v>
      </c>
      <c r="D15" s="205">
        <v>0</v>
      </c>
      <c r="E15" s="205" t="e">
        <f>C15+D15</f>
        <v>#REF!</v>
      </c>
      <c r="F15" s="297" t="e">
        <f>SUM(E13:E15)</f>
        <v>#REF!</v>
      </c>
    </row>
    <row r="16" spans="2:6" ht="13.5" thickBot="1">
      <c r="B16" s="206"/>
      <c r="D16" s="207"/>
    </row>
    <row r="17" spans="2:6" ht="13.5" thickBot="1">
      <c r="B17" s="203">
        <v>46023</v>
      </c>
      <c r="C17" s="205" t="e">
        <f>C4</f>
        <v>#REF!</v>
      </c>
      <c r="D17" s="205" t="e">
        <f>C6</f>
        <v>#REF!</v>
      </c>
      <c r="E17" s="205" t="e">
        <f>C17+D17</f>
        <v>#REF!</v>
      </c>
    </row>
    <row r="18" spans="2:6" ht="13.5" thickBot="1">
      <c r="B18" s="206"/>
      <c r="D18" s="207"/>
    </row>
    <row r="19" spans="2:6" ht="13.5" thickBot="1">
      <c r="B19" s="203">
        <v>46054</v>
      </c>
      <c r="C19" s="205" t="e">
        <f>C4</f>
        <v>#REF!</v>
      </c>
      <c r="D19" s="205" t="e">
        <f>C6</f>
        <v>#REF!</v>
      </c>
      <c r="E19" s="205" t="e">
        <f>C19+D19</f>
        <v>#REF!</v>
      </c>
    </row>
    <row r="20" spans="2:6" ht="13.5" thickBot="1">
      <c r="B20" s="206"/>
      <c r="D20" s="207"/>
    </row>
    <row r="21" spans="2:6" ht="13.5" thickBot="1">
      <c r="B21" s="203" t="s">
        <v>281</v>
      </c>
      <c r="C21" s="205" t="e">
        <f>C4/2</f>
        <v>#REF!</v>
      </c>
      <c r="D21" s="205">
        <v>0</v>
      </c>
      <c r="E21" s="205" t="e">
        <f>C21+D21</f>
        <v>#REF!</v>
      </c>
    </row>
    <row r="22" spans="2:6" ht="13.5" thickBot="1">
      <c r="B22" s="206"/>
      <c r="D22" s="207"/>
    </row>
    <row r="23" spans="2:6" ht="13.5" thickBot="1">
      <c r="B23" s="203" t="s">
        <v>280</v>
      </c>
      <c r="C23" s="205">
        <f>C2/2</f>
        <v>201988.29587180528</v>
      </c>
      <c r="D23" s="205" t="e">
        <f>C6</f>
        <v>#REF!</v>
      </c>
      <c r="E23" s="205" t="e">
        <f>C23+D23</f>
        <v>#REF!</v>
      </c>
      <c r="F23" s="297" t="e">
        <f>SUM(E21,E23)</f>
        <v>#REF!</v>
      </c>
    </row>
    <row r="24" spans="2:6" ht="13.5" thickBot="1">
      <c r="B24" s="206"/>
      <c r="D24" s="207"/>
    </row>
    <row r="25" spans="2:6" ht="13.5" thickBot="1">
      <c r="B25" s="203">
        <v>46113</v>
      </c>
      <c r="C25" s="205">
        <f>C2</f>
        <v>403976.59174361057</v>
      </c>
      <c r="D25" s="205" t="e">
        <f>C6</f>
        <v>#REF!</v>
      </c>
      <c r="E25" s="205" t="e">
        <f>SUM(C25:D25)</f>
        <v>#REF!</v>
      </c>
    </row>
    <row r="26" spans="2:6" ht="13.5" thickBot="1">
      <c r="B26" s="206"/>
      <c r="D26" s="207"/>
    </row>
    <row r="27" spans="2:6" ht="13.5" thickBot="1">
      <c r="B27" s="203">
        <v>46143</v>
      </c>
      <c r="C27" s="205">
        <f>C2</f>
        <v>403976.59174361057</v>
      </c>
      <c r="D27" s="205" t="e">
        <f>C6</f>
        <v>#REF!</v>
      </c>
      <c r="E27" s="205" t="e">
        <f>SUM(C27:D27)</f>
        <v>#REF!</v>
      </c>
    </row>
    <row r="28" spans="2:6" ht="13.5" thickBot="1">
      <c r="B28" s="206"/>
      <c r="D28" s="207"/>
    </row>
    <row r="29" spans="2:6" ht="13.5" thickBot="1">
      <c r="B29" s="203">
        <v>46174</v>
      </c>
      <c r="C29" s="205">
        <f>C2</f>
        <v>403976.59174361057</v>
      </c>
      <c r="D29" s="205" t="e">
        <f>C6</f>
        <v>#REF!</v>
      </c>
      <c r="E29" s="205" t="e">
        <f>C29+D29</f>
        <v>#REF!</v>
      </c>
    </row>
    <row r="30" spans="2:6" ht="13.5" thickBot="1">
      <c r="B30" s="206"/>
      <c r="D30" s="207"/>
    </row>
    <row r="31" spans="2:6" ht="13.5" thickBot="1">
      <c r="B31" s="203">
        <v>46204</v>
      </c>
      <c r="C31" s="205">
        <f>C2</f>
        <v>403976.59174361057</v>
      </c>
      <c r="D31" s="205" t="e">
        <f>C6</f>
        <v>#REF!</v>
      </c>
      <c r="E31" s="205" t="e">
        <f>C31+D31</f>
        <v>#REF!</v>
      </c>
    </row>
    <row r="32" spans="2:6" ht="13.5" thickBot="1">
      <c r="B32" s="206"/>
      <c r="D32" s="207"/>
    </row>
    <row r="33" spans="2:5" ht="13.5" thickBot="1">
      <c r="B33" s="203">
        <v>46235</v>
      </c>
      <c r="C33" s="205">
        <f>C2</f>
        <v>403976.59174361057</v>
      </c>
      <c r="D33" s="205" t="e">
        <f>C6</f>
        <v>#REF!</v>
      </c>
      <c r="E33" s="205" t="e">
        <f>SUM(C33:D33)</f>
        <v>#REF!</v>
      </c>
    </row>
    <row r="34" spans="2:5" ht="13.5" thickBot="1">
      <c r="B34" s="206"/>
      <c r="D34" s="207"/>
    </row>
    <row r="35" spans="2:5" ht="13.5" thickBot="1">
      <c r="B35" s="203">
        <v>46266</v>
      </c>
      <c r="C35" s="205">
        <f>C2</f>
        <v>403976.59174361057</v>
      </c>
      <c r="D35" s="205" t="e">
        <f>C6</f>
        <v>#REF!</v>
      </c>
      <c r="E35" s="205" t="e">
        <f>SUM(C35:D35)</f>
        <v>#REF!</v>
      </c>
    </row>
    <row r="36" spans="2:5" ht="13.5" thickBot="1">
      <c r="B36" s="206"/>
      <c r="D36" s="207"/>
    </row>
    <row r="37" spans="2:5" ht="13.5" thickBot="1">
      <c r="B37" s="208"/>
      <c r="C37" s="204" t="e">
        <f>SUM(C9,C11,C13,C15,C17,C19,C21,C23,C25,C27,C29,C31,C33,C35)</f>
        <v>#REF!</v>
      </c>
      <c r="D37" s="204" t="e">
        <f>SUM(D35:D36,D9,D11,D13,D15,D17,D19,D21,D23,D25,D27,D29,D31,D33)</f>
        <v>#REF!</v>
      </c>
      <c r="E37" s="204" t="e">
        <f>SUM(E9,E11,E13,E15,E17,E19,E21,E23,E25,E27,E29,E31,E33,E35)</f>
        <v>#REF!</v>
      </c>
    </row>
    <row r="38" spans="2:5">
      <c r="B38" s="201"/>
      <c r="C38" s="211"/>
      <c r="D38" s="211"/>
      <c r="E38" s="200"/>
    </row>
    <row r="39" spans="2:5">
      <c r="B39" s="201"/>
      <c r="C39" s="211"/>
      <c r="D39" s="211"/>
    </row>
    <row r="40" spans="2:5">
      <c r="B40" s="201"/>
    </row>
    <row r="41" spans="2:5">
      <c r="B41" s="201"/>
      <c r="C41" s="200"/>
    </row>
    <row r="42" spans="2:5">
      <c r="B42" s="201"/>
    </row>
    <row r="43" spans="2:5">
      <c r="B43" s="215"/>
      <c r="C43" s="200"/>
    </row>
    <row r="44" spans="2:5">
      <c r="B44" s="201"/>
      <c r="C44" s="200"/>
    </row>
    <row r="45" spans="2:5">
      <c r="B45" s="215"/>
      <c r="C45" s="200"/>
    </row>
    <row r="46" spans="2:5">
      <c r="B46" s="201"/>
    </row>
    <row r="47" spans="2:5">
      <c r="B47" s="215"/>
      <c r="C47" s="200"/>
    </row>
    <row r="48" spans="2:5">
      <c r="B48" s="201"/>
    </row>
    <row r="49" spans="2:3">
      <c r="B49" s="215"/>
      <c r="C49" s="200"/>
    </row>
    <row r="50" spans="2:3">
      <c r="B50" s="201"/>
    </row>
    <row r="51" spans="2:3">
      <c r="B51" s="215"/>
      <c r="C51" s="200"/>
    </row>
    <row r="52" spans="2:3">
      <c r="B52" s="201"/>
    </row>
    <row r="53" spans="2:3">
      <c r="B53" s="215"/>
      <c r="C53" s="200"/>
    </row>
    <row r="54" spans="2:3">
      <c r="B54" s="201"/>
    </row>
    <row r="55" spans="2:3">
      <c r="B55" s="215"/>
      <c r="C55" s="200"/>
    </row>
    <row r="56" spans="2:3">
      <c r="B56" s="201"/>
    </row>
    <row r="57" spans="2:3">
      <c r="B57" s="215"/>
      <c r="C57" s="200"/>
    </row>
    <row r="58" spans="2:3">
      <c r="B58" s="201"/>
    </row>
    <row r="59" spans="2:3">
      <c r="B59" s="215"/>
      <c r="C59" s="200"/>
    </row>
    <row r="60" spans="2:3">
      <c r="B60" s="201"/>
    </row>
    <row r="61" spans="2:3">
      <c r="B61" s="215"/>
      <c r="C61" s="200"/>
    </row>
    <row r="62" spans="2:3">
      <c r="B62" s="201"/>
    </row>
    <row r="63" spans="2:3">
      <c r="B63" s="215"/>
      <c r="C63" s="200"/>
    </row>
    <row r="64" spans="2:3">
      <c r="B64" s="201"/>
    </row>
    <row r="65" spans="2:4">
      <c r="B65" s="216"/>
      <c r="C65" s="200"/>
    </row>
    <row r="67" spans="2:4">
      <c r="C67" s="211"/>
    </row>
    <row r="71" spans="2:4">
      <c r="D71" s="200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9187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7</vt:i4>
      </vt:variant>
    </vt:vector>
  </HeadingPairs>
  <TitlesOfParts>
    <vt:vector size="20" baseType="lpstr">
      <vt:lpstr>1_1_Coleta_BX_TEMP</vt:lpstr>
      <vt:lpstr>1_1_Coleta_ALTA_TEMP (2turnos)</vt:lpstr>
      <vt:lpstr>1_1_Coleta_SELETIVA </vt:lpstr>
      <vt:lpstr>2_Encargos_Sociais</vt:lpstr>
      <vt:lpstr>3_CAGED</vt:lpstr>
      <vt:lpstr>4_BDI</vt:lpstr>
      <vt:lpstr>5__Depreciação</vt:lpstr>
      <vt:lpstr>6_Remuneração_de_capital</vt:lpstr>
      <vt:lpstr>TOTAL</vt:lpstr>
      <vt:lpstr>CALCULO-Baixa</vt:lpstr>
      <vt:lpstr>CALCULO-Alta</vt:lpstr>
      <vt:lpstr>MemoriaCalculo</vt:lpstr>
      <vt:lpstr>Pla Resumo</vt:lpstr>
      <vt:lpstr>AbaDeprec</vt:lpstr>
      <vt:lpstr>AbaRemun</vt:lpstr>
      <vt:lpstr>'1_1_Coleta_ALTA_TEMP (2turnos)'!Area_de_impressao</vt:lpstr>
      <vt:lpstr>'1_1_Coleta_BX_TEMP'!Area_de_impressao</vt:lpstr>
      <vt:lpstr>'1_1_Coleta_SELETIVA '!Area_de_impressao</vt:lpstr>
      <vt:lpstr>'2_Encargos_Sociais'!Area_de_impressao</vt:lpstr>
      <vt:lpstr>'3_CAGED'!Area_de_impressao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Usuario</cp:lastModifiedBy>
  <cp:revision>188</cp:revision>
  <cp:lastPrinted>2026-07-21T17:52:18Z</cp:lastPrinted>
  <dcterms:created xsi:type="dcterms:W3CDTF">2000-12-13T10:02:50Z</dcterms:created>
  <dcterms:modified xsi:type="dcterms:W3CDTF">2026-07-21T17:55:21Z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dmlu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